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Korisnik\OneDrive - CARNET\Desktop\ANITA\FINANCIJSKI PLAN\FP 2025. - projekcija 2026. - 2027\3. rebalans - II. KZŽ\"/>
    </mc:Choice>
  </mc:AlternateContent>
  <xr:revisionPtr revIDLastSave="0" documentId="13_ncr:1_{D74A6C3C-2972-4A15-9033-A345C372A7C4}" xr6:coauthVersionLast="37" xr6:coauthVersionMax="37" xr10:uidLastSave="{00000000-0000-0000-0000-000000000000}"/>
  <bookViews>
    <workbookView xWindow="0" yWindow="0" windowWidth="19410" windowHeight="11010" xr2:uid="{00000000-000D-0000-FFFF-FFFF00000000}"/>
  </bookViews>
  <sheets>
    <sheet name="SAŽETAK" sheetId="1" r:id="rId1"/>
    <sheet name="Rač. prih. i rash.prema ek.kl  " sheetId="3" r:id="rId2"/>
    <sheet name="Rač. prih. i rash.prema IZV.FI" sheetId="8" r:id="rId3"/>
    <sheet name="Račun financiranja EK. KLAS" sheetId="6" r:id="rId4"/>
    <sheet name="Račun financiranja FUNK.KLAS" sheetId="9" r:id="rId5"/>
    <sheet name="POSEBNI DIO" sheetId="7" r:id="rId6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9" i="7" l="1"/>
  <c r="M10" i="7"/>
  <c r="M11" i="7"/>
  <c r="M12" i="7"/>
  <c r="M13" i="7"/>
  <c r="M14" i="7"/>
  <c r="M28" i="7"/>
  <c r="M29" i="7"/>
  <c r="M30" i="7"/>
  <c r="M31" i="7"/>
  <c r="M33" i="7"/>
  <c r="M34" i="7"/>
  <c r="M35" i="7"/>
  <c r="M36" i="7"/>
  <c r="M37" i="7"/>
  <c r="M38" i="7"/>
  <c r="M42" i="7"/>
  <c r="M43" i="7"/>
  <c r="M44" i="7"/>
  <c r="M45" i="7"/>
  <c r="M46" i="7"/>
  <c r="M47" i="7"/>
  <c r="M48" i="7"/>
  <c r="M49" i="7"/>
  <c r="M50" i="7"/>
  <c r="M51" i="7"/>
  <c r="M52" i="7"/>
  <c r="M53" i="7"/>
  <c r="M54" i="7"/>
  <c r="M55" i="7"/>
  <c r="M56" i="7"/>
  <c r="M57" i="7"/>
  <c r="M59" i="7"/>
  <c r="M62" i="7"/>
  <c r="M65" i="7"/>
  <c r="M66" i="7"/>
  <c r="M71" i="7"/>
  <c r="M72" i="7"/>
  <c r="M73" i="7"/>
  <c r="M74" i="7"/>
  <c r="M75" i="7"/>
  <c r="M86" i="7"/>
  <c r="M87" i="7"/>
  <c r="M88" i="7"/>
  <c r="M89" i="7"/>
  <c r="M90" i="7"/>
  <c r="M91" i="7"/>
  <c r="M92" i="7"/>
  <c r="M93" i="7"/>
  <c r="M94" i="7"/>
  <c r="M95" i="7"/>
  <c r="M96" i="7"/>
  <c r="M97" i="7"/>
  <c r="M98" i="7"/>
  <c r="M99" i="7"/>
  <c r="M100" i="7"/>
  <c r="M101" i="7"/>
  <c r="M102" i="7"/>
  <c r="M103" i="7"/>
  <c r="M104" i="7"/>
  <c r="M8" i="7"/>
  <c r="L89" i="7"/>
  <c r="L90" i="7"/>
  <c r="L91" i="7"/>
  <c r="L92" i="7"/>
  <c r="L93" i="7"/>
  <c r="L94" i="7"/>
  <c r="L95" i="7"/>
  <c r="L96" i="7"/>
  <c r="L97" i="7"/>
  <c r="L98" i="7"/>
  <c r="L99" i="7"/>
  <c r="L100" i="7"/>
  <c r="L101" i="7"/>
  <c r="L102" i="7"/>
  <c r="L103" i="7"/>
  <c r="L104" i="7"/>
  <c r="L88" i="7"/>
  <c r="L87" i="7"/>
  <c r="L86" i="7"/>
  <c r="L58" i="7"/>
  <c r="L59" i="7"/>
  <c r="L60" i="7"/>
  <c r="L61" i="7"/>
  <c r="L62" i="7"/>
  <c r="L63" i="7"/>
  <c r="L64" i="7"/>
  <c r="L65" i="7"/>
  <c r="L66" i="7"/>
  <c r="L67" i="7"/>
  <c r="L68" i="7"/>
  <c r="L69" i="7"/>
  <c r="L70" i="7"/>
  <c r="L71" i="7"/>
  <c r="L72" i="7"/>
  <c r="L73" i="7"/>
  <c r="L74" i="7"/>
  <c r="L75" i="7"/>
  <c r="L76" i="7"/>
  <c r="L77" i="7"/>
  <c r="L47" i="7"/>
  <c r="L48" i="7"/>
  <c r="L49" i="7"/>
  <c r="L50" i="7"/>
  <c r="L51" i="7"/>
  <c r="L52" i="7"/>
  <c r="L53" i="7"/>
  <c r="L54" i="7"/>
  <c r="L55" i="7"/>
  <c r="L56" i="7"/>
  <c r="L57" i="7"/>
  <c r="L44" i="7"/>
  <c r="L45" i="7"/>
  <c r="L46" i="7"/>
  <c r="L43" i="7"/>
  <c r="L42" i="7"/>
  <c r="L38" i="7"/>
  <c r="L39" i="7"/>
  <c r="L40" i="7"/>
  <c r="L41" i="7"/>
  <c r="L37" i="7"/>
  <c r="L36" i="7"/>
  <c r="L35" i="7"/>
  <c r="L34" i="7"/>
  <c r="L33" i="7"/>
  <c r="L32" i="7"/>
  <c r="L31" i="7"/>
  <c r="L30" i="7"/>
  <c r="L29" i="7"/>
  <c r="L28" i="7"/>
  <c r="L13" i="7"/>
  <c r="L14" i="7"/>
  <c r="L15" i="7"/>
  <c r="L16" i="7"/>
  <c r="L12" i="7"/>
  <c r="L11" i="7"/>
  <c r="L10" i="7"/>
  <c r="L9" i="7"/>
  <c r="L8" i="7"/>
  <c r="K8" i="7"/>
  <c r="K95" i="7"/>
  <c r="K96" i="7"/>
  <c r="K97" i="7"/>
  <c r="K98" i="7"/>
  <c r="K100" i="7"/>
  <c r="K99" i="7"/>
  <c r="K28" i="7"/>
  <c r="K35" i="7"/>
  <c r="K62" i="7"/>
  <c r="K9" i="7"/>
  <c r="K10" i="7"/>
  <c r="H11" i="9" l="1"/>
  <c r="H10" i="9"/>
  <c r="H9" i="9"/>
  <c r="H8" i="9"/>
  <c r="H7" i="9"/>
  <c r="J7" i="9"/>
  <c r="J8" i="9"/>
  <c r="E9" i="9"/>
  <c r="E8" i="9" s="1"/>
  <c r="E7" i="9" s="1"/>
  <c r="F8" i="9"/>
  <c r="F7" i="9" s="1"/>
  <c r="H31" i="8"/>
  <c r="H32" i="8"/>
  <c r="H33" i="8"/>
  <c r="H34" i="8"/>
  <c r="H35" i="8"/>
  <c r="H36" i="8"/>
  <c r="H37" i="8"/>
  <c r="H38" i="8"/>
  <c r="I38" i="8" s="1"/>
  <c r="H39" i="8"/>
  <c r="H40" i="8"/>
  <c r="H41" i="8"/>
  <c r="H30" i="8"/>
  <c r="H29" i="8"/>
  <c r="H28" i="8"/>
  <c r="J28" i="8"/>
  <c r="J29" i="8"/>
  <c r="J32" i="8"/>
  <c r="J34" i="8"/>
  <c r="J36" i="8"/>
  <c r="J40" i="8"/>
  <c r="G29" i="8"/>
  <c r="G30" i="8"/>
  <c r="H14" i="8"/>
  <c r="H16" i="8"/>
  <c r="I16" i="8" s="1"/>
  <c r="H18" i="8"/>
  <c r="H20" i="8"/>
  <c r="I20" i="8" s="1"/>
  <c r="H21" i="8"/>
  <c r="I21" i="8" s="1"/>
  <c r="H22" i="8"/>
  <c r="H24" i="8"/>
  <c r="I24" i="8" s="1"/>
  <c r="J11" i="8"/>
  <c r="J12" i="8"/>
  <c r="J15" i="8"/>
  <c r="H15" i="8" s="1"/>
  <c r="J17" i="8"/>
  <c r="H17" i="8" s="1"/>
  <c r="I17" i="8" s="1"/>
  <c r="J19" i="8"/>
  <c r="H19" i="8" s="1"/>
  <c r="J23" i="8"/>
  <c r="H23" i="8" s="1"/>
  <c r="G19" i="8"/>
  <c r="G13" i="8"/>
  <c r="H13" i="8" s="1"/>
  <c r="I13" i="8" s="1"/>
  <c r="I41" i="8"/>
  <c r="F41" i="8"/>
  <c r="F40" i="8" s="1"/>
  <c r="G40" i="8"/>
  <c r="E40" i="8"/>
  <c r="I39" i="8"/>
  <c r="F38" i="8"/>
  <c r="I37" i="8"/>
  <c r="F37" i="8"/>
  <c r="F36" i="8" s="1"/>
  <c r="G36" i="8"/>
  <c r="E36" i="8"/>
  <c r="I35" i="8"/>
  <c r="F35" i="8"/>
  <c r="F34" i="8" s="1"/>
  <c r="G34" i="8"/>
  <c r="E34" i="8"/>
  <c r="I33" i="8"/>
  <c r="F33" i="8"/>
  <c r="F32" i="8" s="1"/>
  <c r="G32" i="8"/>
  <c r="E32" i="8"/>
  <c r="I31" i="8"/>
  <c r="I30" i="8"/>
  <c r="F30" i="8"/>
  <c r="E29" i="8"/>
  <c r="F24" i="8"/>
  <c r="F23" i="8" s="1"/>
  <c r="E24" i="8"/>
  <c r="E23" i="8" s="1"/>
  <c r="G23" i="8"/>
  <c r="I22" i="8"/>
  <c r="F21" i="8"/>
  <c r="E21" i="8"/>
  <c r="F20" i="8"/>
  <c r="E20" i="8"/>
  <c r="I18" i="8"/>
  <c r="F18" i="8"/>
  <c r="E18" i="8"/>
  <c r="E17" i="8" s="1"/>
  <c r="G17" i="8"/>
  <c r="F17" i="8"/>
  <c r="F16" i="8"/>
  <c r="F15" i="8" s="1"/>
  <c r="E16" i="8"/>
  <c r="E15" i="8" s="1"/>
  <c r="G15" i="8"/>
  <c r="I14" i="8"/>
  <c r="F14" i="8"/>
  <c r="F31" i="8" s="1"/>
  <c r="E14" i="8"/>
  <c r="E12" i="8" s="1"/>
  <c r="F13" i="8"/>
  <c r="E13" i="8"/>
  <c r="I7" i="9" l="1"/>
  <c r="I10" i="9"/>
  <c r="E19" i="8"/>
  <c r="G12" i="8"/>
  <c r="H12" i="8" s="1"/>
  <c r="I12" i="8" s="1"/>
  <c r="F12" i="8"/>
  <c r="G11" i="8"/>
  <c r="H11" i="8" s="1"/>
  <c r="F29" i="8"/>
  <c r="F28" i="8"/>
  <c r="F19" i="8"/>
  <c r="F11" i="8" s="1"/>
  <c r="G28" i="8"/>
  <c r="I36" i="8"/>
  <c r="I29" i="8"/>
  <c r="I32" i="8"/>
  <c r="I40" i="8"/>
  <c r="I15" i="8"/>
  <c r="I19" i="8"/>
  <c r="I23" i="8"/>
  <c r="I34" i="8"/>
  <c r="I9" i="9" l="1"/>
  <c r="G8" i="9"/>
  <c r="I11" i="8"/>
  <c r="I28" i="8"/>
  <c r="I8" i="9" l="1"/>
  <c r="I44" i="3" l="1"/>
  <c r="I45" i="3"/>
  <c r="I46" i="3"/>
  <c r="I47" i="3"/>
  <c r="I48" i="3"/>
  <c r="I49" i="3"/>
  <c r="I51" i="3"/>
  <c r="I52" i="3"/>
  <c r="I53" i="3"/>
  <c r="I54" i="3"/>
  <c r="I55" i="3"/>
  <c r="I56" i="3"/>
  <c r="I57" i="3"/>
  <c r="I58" i="3"/>
  <c r="I59" i="3"/>
  <c r="I60" i="3"/>
  <c r="I61" i="3"/>
  <c r="I62" i="3"/>
  <c r="I63" i="3"/>
  <c r="I65" i="3"/>
  <c r="I66" i="3"/>
  <c r="I67" i="3"/>
  <c r="I68" i="3"/>
  <c r="I69" i="3"/>
  <c r="I70" i="3"/>
  <c r="I71" i="3"/>
  <c r="I72" i="3"/>
  <c r="I73" i="3"/>
  <c r="I74" i="3"/>
  <c r="I76" i="3"/>
  <c r="I77" i="3"/>
  <c r="I78" i="3"/>
  <c r="I80" i="3"/>
  <c r="I81" i="3"/>
  <c r="I43" i="3"/>
  <c r="H44" i="3"/>
  <c r="H45" i="3"/>
  <c r="H46" i="3"/>
  <c r="H47" i="3"/>
  <c r="H48" i="3"/>
  <c r="H49" i="3"/>
  <c r="H50" i="3"/>
  <c r="H51" i="3"/>
  <c r="H52" i="3"/>
  <c r="H53" i="3"/>
  <c r="H54" i="3"/>
  <c r="H55" i="3"/>
  <c r="H56" i="3"/>
  <c r="H57" i="3"/>
  <c r="H58" i="3"/>
  <c r="H59" i="3"/>
  <c r="H60" i="3"/>
  <c r="H61" i="3"/>
  <c r="H62" i="3"/>
  <c r="H63" i="3"/>
  <c r="H64" i="3"/>
  <c r="H65" i="3"/>
  <c r="H66" i="3"/>
  <c r="H67" i="3"/>
  <c r="H68" i="3"/>
  <c r="H69" i="3"/>
  <c r="H70" i="3"/>
  <c r="H71" i="3"/>
  <c r="H72" i="3"/>
  <c r="H73" i="3"/>
  <c r="H74" i="3"/>
  <c r="H75" i="3"/>
  <c r="H76" i="3"/>
  <c r="H77" i="3"/>
  <c r="H78" i="3"/>
  <c r="H79" i="3"/>
  <c r="H80" i="3"/>
  <c r="H81" i="3"/>
  <c r="H82" i="3"/>
  <c r="H83" i="3"/>
  <c r="H43" i="3"/>
  <c r="J43" i="3"/>
  <c r="J44" i="3"/>
  <c r="J45" i="3"/>
  <c r="J46" i="3"/>
  <c r="J51" i="3"/>
  <c r="J72" i="3"/>
  <c r="J73" i="3"/>
  <c r="J82" i="3"/>
  <c r="J61" i="3"/>
  <c r="J54" i="3"/>
  <c r="J48" i="3"/>
  <c r="J59" i="3"/>
  <c r="J49" i="3"/>
  <c r="J58" i="3"/>
  <c r="J62" i="3"/>
  <c r="J66" i="3"/>
  <c r="J70" i="3"/>
  <c r="J53" i="3"/>
  <c r="J47" i="3"/>
  <c r="J57" i="3"/>
  <c r="J55" i="3"/>
  <c r="J74" i="3"/>
  <c r="J68" i="3"/>
  <c r="J52" i="3"/>
  <c r="G51" i="3"/>
  <c r="J20" i="3"/>
  <c r="H22" i="3"/>
  <c r="H29" i="3"/>
  <c r="H28" i="3"/>
  <c r="H19" i="3"/>
  <c r="H21" i="3"/>
  <c r="H24" i="3"/>
  <c r="H15" i="3"/>
  <c r="H13" i="3" s="1"/>
  <c r="H14" i="3"/>
  <c r="H30" i="3"/>
  <c r="H33" i="3"/>
  <c r="H34" i="3"/>
  <c r="H35" i="3"/>
  <c r="H36" i="3"/>
  <c r="H37" i="3"/>
  <c r="H38" i="3"/>
  <c r="J32" i="3"/>
  <c r="H32" i="3" s="1"/>
  <c r="G13" i="3"/>
  <c r="G17" i="3"/>
  <c r="G20" i="3"/>
  <c r="G23" i="3"/>
  <c r="G31" i="3"/>
  <c r="G12" i="3" l="1"/>
  <c r="G11" i="3" s="1"/>
  <c r="K15" i="1"/>
  <c r="H15" i="1"/>
  <c r="H14" i="1" s="1"/>
  <c r="H10" i="1"/>
  <c r="G39" i="3" l="1"/>
  <c r="H17" i="1"/>
  <c r="I16" i="1"/>
  <c r="J16" i="1" s="1"/>
  <c r="K14" i="1"/>
  <c r="K10" i="1"/>
  <c r="I11" i="1"/>
  <c r="J11" i="1" s="1"/>
  <c r="G73" i="3" l="1"/>
  <c r="G66" i="3"/>
  <c r="G62" i="3"/>
  <c r="H31" i="3" l="1"/>
  <c r="J31" i="3" s="1"/>
  <c r="I15" i="3"/>
  <c r="I16" i="3"/>
  <c r="I19" i="3"/>
  <c r="I21" i="3"/>
  <c r="I24" i="3"/>
  <c r="I25" i="3"/>
  <c r="I26" i="3"/>
  <c r="I27" i="3"/>
  <c r="I28" i="3"/>
  <c r="I29" i="3"/>
  <c r="I30" i="3"/>
  <c r="I35" i="3"/>
  <c r="I36" i="3"/>
  <c r="I37" i="3"/>
  <c r="J16" i="3"/>
  <c r="J13" i="3" s="1"/>
  <c r="J18" i="3"/>
  <c r="J25" i="3"/>
  <c r="J26" i="3"/>
  <c r="J27" i="3"/>
  <c r="F10" i="1" l="1"/>
  <c r="G10" i="1"/>
  <c r="G14" i="1"/>
  <c r="F15" i="1"/>
  <c r="F14" i="1" s="1"/>
  <c r="F24" i="1"/>
  <c r="G24" i="1"/>
  <c r="F40" i="1"/>
  <c r="G40" i="1"/>
  <c r="G17" i="1" l="1"/>
  <c r="G32" i="1"/>
  <c r="G25" i="1"/>
  <c r="F17" i="1"/>
  <c r="F32" i="1" s="1"/>
  <c r="F25" i="1" l="1"/>
  <c r="I22" i="3" l="1"/>
  <c r="I14" i="3"/>
  <c r="H40" i="1" l="1"/>
  <c r="E43" i="3"/>
  <c r="F32" i="3"/>
  <c r="I15" i="1"/>
  <c r="J15" i="1" l="1"/>
  <c r="I14" i="1"/>
  <c r="G70" i="3"/>
  <c r="G45" i="3" l="1"/>
  <c r="E59" i="3"/>
  <c r="E50" i="3"/>
  <c r="E58" i="3"/>
  <c r="E49" i="3"/>
  <c r="E57" i="3"/>
  <c r="E55" i="3"/>
  <c r="E68" i="3"/>
  <c r="E46" i="3"/>
  <c r="E32" i="3"/>
  <c r="G44" i="3" l="1"/>
  <c r="I32" i="3"/>
  <c r="H20" i="3"/>
  <c r="F58" i="3"/>
  <c r="F31" i="3"/>
  <c r="F70" i="3"/>
  <c r="F52" i="3"/>
  <c r="F46" i="3"/>
  <c r="F59" i="3"/>
  <c r="F69" i="3"/>
  <c r="F65" i="3"/>
  <c r="F49" i="3"/>
  <c r="F77" i="3"/>
  <c r="F57" i="3"/>
  <c r="F56" i="3"/>
  <c r="F61" i="3"/>
  <c r="F75" i="3"/>
  <c r="F73" i="3" s="1"/>
  <c r="F63" i="3"/>
  <c r="F55" i="3"/>
  <c r="F68" i="3"/>
  <c r="F17" i="3"/>
  <c r="I31" i="3" l="1"/>
  <c r="F45" i="3"/>
  <c r="F51" i="3"/>
  <c r="F66" i="3" l="1"/>
  <c r="H17" i="3"/>
  <c r="I20" i="3" l="1"/>
  <c r="G72" i="3"/>
  <c r="G43" i="3" s="1"/>
  <c r="I17" i="3"/>
  <c r="J17" i="3"/>
  <c r="I13" i="3"/>
  <c r="F82" i="3"/>
  <c r="E82" i="3"/>
  <c r="E13" i="3"/>
  <c r="F72" i="3" l="1"/>
  <c r="I24" i="1"/>
  <c r="H24" i="1"/>
  <c r="J14" i="1"/>
  <c r="I10" i="1"/>
  <c r="J10" i="1" l="1"/>
  <c r="I17" i="1" l="1"/>
  <c r="I40" i="1"/>
  <c r="E73" i="3"/>
  <c r="E72" i="3" s="1"/>
  <c r="E66" i="3"/>
  <c r="E62" i="3"/>
  <c r="E51" i="3"/>
  <c r="E45" i="3"/>
  <c r="E31" i="3"/>
  <c r="E23" i="3"/>
  <c r="E20" i="3"/>
  <c r="E17" i="3"/>
  <c r="J17" i="1" l="1"/>
  <c r="E12" i="3"/>
  <c r="E39" i="3" l="1"/>
  <c r="E11" i="3"/>
  <c r="H89" i="3" l="1"/>
  <c r="H85" i="3"/>
  <c r="H86" i="3"/>
  <c r="H87" i="3"/>
  <c r="H88" i="3"/>
  <c r="H90" i="3"/>
  <c r="H91" i="3"/>
  <c r="F91" i="3"/>
  <c r="F90" i="3"/>
  <c r="F89" i="3"/>
  <c r="F88" i="3"/>
  <c r="F87" i="3"/>
  <c r="F86" i="3"/>
  <c r="F85" i="3"/>
  <c r="F92" i="3" l="1"/>
  <c r="H92" i="3"/>
  <c r="F62" i="3" l="1"/>
  <c r="F44" i="3" s="1"/>
  <c r="F43" i="3" s="1"/>
  <c r="F25" i="3"/>
  <c r="F23" i="3" s="1"/>
  <c r="H23" i="3" l="1"/>
  <c r="H12" i="3" s="1"/>
  <c r="H11" i="3" s="1"/>
  <c r="F20" i="3"/>
  <c r="F13" i="3"/>
  <c r="F39" i="3" s="1"/>
  <c r="I23" i="3" l="1"/>
  <c r="J23" i="3"/>
  <c r="J12" i="3" s="1"/>
  <c r="J11" i="3" s="1"/>
  <c r="J39" i="3" s="1"/>
  <c r="I12" i="3" l="1"/>
  <c r="H39" i="3"/>
  <c r="F11" i="3"/>
  <c r="I11" i="3" l="1"/>
  <c r="I39" i="3"/>
</calcChain>
</file>

<file path=xl/sharedStrings.xml><?xml version="1.0" encoding="utf-8"?>
<sst xmlns="http://schemas.openxmlformats.org/spreadsheetml/2006/main" count="525" uniqueCount="201">
  <si>
    <t>PRIHODI UKUPNO</t>
  </si>
  <si>
    <t>RASHODI UKUPNO</t>
  </si>
  <si>
    <t>VIŠAK / MANJAK IZ PRETHODNE(IH) GODINE KOJI ĆE SE RASPOREDITI / POKRITI</t>
  </si>
  <si>
    <t>NETO FINANCIRANJE</t>
  </si>
  <si>
    <t>VIŠAK / MANJAK + NETO FINANCIRANJE</t>
  </si>
  <si>
    <t>Naziv prihoda</t>
  </si>
  <si>
    <t xml:space="preserve">A. RAČUN PRIHODA I RASHODA </t>
  </si>
  <si>
    <t>Razred</t>
  </si>
  <si>
    <t>Skupina</t>
  </si>
  <si>
    <t>Izvor</t>
  </si>
  <si>
    <t>Prihodi poslovanja</t>
  </si>
  <si>
    <t>Opći prihodi i primici</t>
  </si>
  <si>
    <t>Prihodi od prodaje nefinancijske imovine</t>
  </si>
  <si>
    <t>Naziv rashoda</t>
  </si>
  <si>
    <t>Rashodi poslovanja</t>
  </si>
  <si>
    <t>Rashodi za zaposlene</t>
  </si>
  <si>
    <t>Rashodi za nabavu nefinancijske imovine</t>
  </si>
  <si>
    <t>Primici od financijske imovine i zaduživanja</t>
  </si>
  <si>
    <t>Izdaci za financijsku imovinu i otplate zajmova</t>
  </si>
  <si>
    <t>II. POSEBNI DIO</t>
  </si>
  <si>
    <t>I. OPĆI DIO</t>
  </si>
  <si>
    <t>Šifra</t>
  </si>
  <si>
    <t>Materijalni rashodi</t>
  </si>
  <si>
    <t>Primici od zaduživanja</t>
  </si>
  <si>
    <t>Namjenski primici od zaduživanja</t>
  </si>
  <si>
    <t>Izdaci za otplatu glavnice primljenih kredita i zajmova</t>
  </si>
  <si>
    <t>Vlastiti prihodi</t>
  </si>
  <si>
    <t>A) SAŽETAK RAČUNA PRIHODA I RASHODA</t>
  </si>
  <si>
    <t>B) SAŽETAK RAČUNA FINANCIRANJA</t>
  </si>
  <si>
    <t>Prihodi od prodaje proizvedene dugotrajne imovine</t>
  </si>
  <si>
    <t>Pomoći iz inozemstva i od subjekata unutar općeg proračuna</t>
  </si>
  <si>
    <t>Prihodi iz nadležnog proračuna i od HZZO-a temeljem ugovornih obveza</t>
  </si>
  <si>
    <t>Rashodi za nabavu proizvedene dugotrajne imovine</t>
  </si>
  <si>
    <t>Naziv</t>
  </si>
  <si>
    <t>Ostale pomoći - Ministarstvo</t>
  </si>
  <si>
    <t>Ostale pomoći - JLS (općine)</t>
  </si>
  <si>
    <t>Prihodi od upravnih i administrativnih pristojbi, pristojbi po posebnim propisima i naknada</t>
  </si>
  <si>
    <t>Prihodi od prodaje proizvoda i robe te pruženih usluga i prihodi od donacija</t>
  </si>
  <si>
    <t>Donacije</t>
  </si>
  <si>
    <t>Prihodi za posebne namjene</t>
  </si>
  <si>
    <t>Decentralizacija</t>
  </si>
  <si>
    <t>Vlastiti izvori</t>
  </si>
  <si>
    <t>Rezultat poslovanja</t>
  </si>
  <si>
    <t>Opći prihodi i primici - izvorna sredstva KZŽ</t>
  </si>
  <si>
    <t>Posebne namjene</t>
  </si>
  <si>
    <t>Ostale pomoći - JLS (Općine)</t>
  </si>
  <si>
    <t>Financijski rashodi</t>
  </si>
  <si>
    <t>Naknade građanima i kućanstvimana temelju osiguranja i dr. naknade</t>
  </si>
  <si>
    <t>opći prihodi i primici</t>
  </si>
  <si>
    <t>Višak - posebne namjene</t>
  </si>
  <si>
    <t>SVEUKUPNI PRIHOD ( 6 I 7)</t>
  </si>
  <si>
    <t>Višak -JLS</t>
  </si>
  <si>
    <t>UKUPNO:</t>
  </si>
  <si>
    <t>Redovni poslovi ustanova osnovnog obrazovanja</t>
  </si>
  <si>
    <t>PRIHODI UKUPNO + VIŠAK</t>
  </si>
  <si>
    <t>5.2</t>
  </si>
  <si>
    <t>5.4</t>
  </si>
  <si>
    <t>4.3</t>
  </si>
  <si>
    <t>3.1</t>
  </si>
  <si>
    <t>1.1</t>
  </si>
  <si>
    <t>1.3</t>
  </si>
  <si>
    <t>OSNOVNO OBRAZOVANJE - ZAKONSKI STANDARD</t>
  </si>
  <si>
    <t>Financiranje - ostali rashodi OŠ</t>
  </si>
  <si>
    <t>JLS</t>
  </si>
  <si>
    <t>Brojčana oznaka i naziv</t>
  </si>
  <si>
    <t>1 Opći prihodi i primici</t>
  </si>
  <si>
    <t xml:space="preserve">  11 Opći prihodi i primici</t>
  </si>
  <si>
    <t>3 Vlastiti prihodi</t>
  </si>
  <si>
    <t xml:space="preserve">  31 Vlastiti prihodi</t>
  </si>
  <si>
    <t>PRIMICI UKUPNO</t>
  </si>
  <si>
    <t>8 Namjenski primici od zaduživanja</t>
  </si>
  <si>
    <t xml:space="preserve">  81 Namjenski primici od zaduživanja</t>
  </si>
  <si>
    <t>IZDACI UKUPNO</t>
  </si>
  <si>
    <t>Višak - Donacije</t>
  </si>
  <si>
    <t>Višak - Vlastiti prihodi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</si>
  <si>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</si>
  <si>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</si>
  <si>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</si>
  <si>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</si>
  <si>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</si>
  <si>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</si>
  <si>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</si>
  <si>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</si>
  <si>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</si>
  <si>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</si>
  <si>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D) VIŠEGODIŠNJI PLAN URAVNOTEŽENJA</t>
  </si>
  <si>
    <t>VIŠAK / MANJAK TEKUĆE GODINE</t>
  </si>
  <si>
    <t>Ostali rashodi</t>
  </si>
  <si>
    <t>Rashodi za dodatna ulaganja na nefinancijskoj imovini</t>
  </si>
  <si>
    <t>DOPUNSKI NASTAVNI I VANNASTAVNI PROGRAM ŠKOLA I OBRAZ. INSTIT.</t>
  </si>
  <si>
    <t>Izvršenje 2023.*</t>
  </si>
  <si>
    <t>Plan 2024.</t>
  </si>
  <si>
    <t>A1. PRIHODI I RASHODI POSLOVANJA  PREMA EKONOMSKOJ KLASIFIKACIJI</t>
  </si>
  <si>
    <t>B. RAČUN FINANCIRANJA</t>
  </si>
  <si>
    <t>B1. RAČUN FINANCIRANJA PREMA EKONOMSKOJ KLASIFIKACIJI</t>
  </si>
  <si>
    <t>B2. RAČUN FINANCIRANJA PREMA IZVORIMA FINANCIRANJA</t>
  </si>
  <si>
    <t>SVEUKUPNI RASHOD ( 3 i 4)</t>
  </si>
  <si>
    <t>-2550,08</t>
  </si>
  <si>
    <t>manjak - Ministarstvo</t>
  </si>
  <si>
    <t>6.2</t>
  </si>
  <si>
    <t>Ministarstvo - KZŽ (5.2.)</t>
  </si>
  <si>
    <t>Ministarstvo -prijenos EU (5.7)</t>
  </si>
  <si>
    <t>Opći prihodi i primici - Izvorna sredstva KZŽ</t>
  </si>
  <si>
    <t>5.7</t>
  </si>
  <si>
    <t>5.7.</t>
  </si>
  <si>
    <t>PROMJENA IZNOS</t>
  </si>
  <si>
    <t>PLAN ZA 2025.</t>
  </si>
  <si>
    <t>PROMJENA (%)</t>
  </si>
  <si>
    <t>I. IZMJENA 2025.</t>
  </si>
  <si>
    <t>ZA 2025. GODINU</t>
  </si>
  <si>
    <t>RASPOLOŽIVA SREDSTVA IZ PRETHODNIH GODINA</t>
  </si>
  <si>
    <t>Ministartvo - prijenos EU PK</t>
  </si>
  <si>
    <t>1.1.</t>
  </si>
  <si>
    <t>Ministarstvo - PRIJENOS EU PK</t>
  </si>
  <si>
    <t xml:space="preserve">Opći prihodi i primici </t>
  </si>
  <si>
    <t xml:space="preserve">II. IZMJENA I DOPUNA FINANCIJSKOG PLANA OSNOVNE ŠKOLE ANTUNA MIHANOVIĆA PETROVSKO </t>
  </si>
  <si>
    <t>9 VLASTITI IZVORI</t>
  </si>
  <si>
    <t>I. IZMJENA PRORAČUNA ZA 2025.</t>
  </si>
  <si>
    <t>II. IZMJENA PRORAČUNA ZA 2025.</t>
  </si>
  <si>
    <t>A2.PRIHODI I RASHODI POSLOVANJA PREMA IZVORIMA FINANCIRANJA</t>
  </si>
  <si>
    <t>1. Opći prihodi i primici</t>
  </si>
  <si>
    <t xml:space="preserve">  1.1 Opći prihodi i primici</t>
  </si>
  <si>
    <t xml:space="preserve">  1.3 Decentralizacija</t>
  </si>
  <si>
    <t>3. Vlastiti prihodi</t>
  </si>
  <si>
    <t xml:space="preserve">  3.1 Vlastiti prihodi PK</t>
  </si>
  <si>
    <t>4. Prihodi za posebne namjene</t>
  </si>
  <si>
    <t xml:space="preserve">  4.3 Ostali prihodi za posebne namjene</t>
  </si>
  <si>
    <t>5. Pomoći</t>
  </si>
  <si>
    <t xml:space="preserve">  5.2 Ministarstvo </t>
  </si>
  <si>
    <t xml:space="preserve">  5.4  Općina</t>
  </si>
  <si>
    <t xml:space="preserve">  5.7. Ministarstvo PRIJENOS EU PK</t>
  </si>
  <si>
    <t>6. Donacije</t>
  </si>
  <si>
    <t xml:space="preserve">  6.2. Donacija PK</t>
  </si>
  <si>
    <t>3. Vlastiti rashodi</t>
  </si>
  <si>
    <t>4. Rashodi za posebne namjene</t>
  </si>
  <si>
    <t xml:space="preserve">  5.2   Ministarstvo </t>
  </si>
  <si>
    <t xml:space="preserve">  6.2 Donacija PK</t>
  </si>
  <si>
    <t>II. IZMJENA I DOPUNA FINANCIJSKOG PLANA OSNOVNE ŠKOLE ANTUNA MIHANOVIĆA PETROVSKO ZA 2025. GODINU</t>
  </si>
  <si>
    <t>A3. RASHODI PREMA FUNKCIJSKOJ KLASIFIKACIJI</t>
  </si>
  <si>
    <t>BROJČANA OZNAKA I NAZIV</t>
  </si>
  <si>
    <t>UKUPNI RASHODI</t>
  </si>
  <si>
    <t>09 Obrazovanje</t>
  </si>
  <si>
    <t>091 Predškolsko i osnovno obrazovanje</t>
  </si>
  <si>
    <t>096 Dodatne usluge u obrazovaju</t>
  </si>
  <si>
    <t>098 Usluge obrazovanja koje nisu drugdje svrstane</t>
  </si>
  <si>
    <t>SVEUKUPNO RASHODI</t>
  </si>
  <si>
    <t>Program J011017</t>
  </si>
  <si>
    <t>Aktivnost J011017A101701</t>
  </si>
  <si>
    <t>Izvor 1.3.</t>
  </si>
  <si>
    <t>DECENTRALIZACIJA</t>
  </si>
  <si>
    <t>3</t>
  </si>
  <si>
    <t>32</t>
  </si>
  <si>
    <t>34</t>
  </si>
  <si>
    <t>4</t>
  </si>
  <si>
    <t>42</t>
  </si>
  <si>
    <t>Aktivnost J011017K101701</t>
  </si>
  <si>
    <t>Izgradnja, dogradnja i adaptacija - OŠ</t>
  </si>
  <si>
    <t>45</t>
  </si>
  <si>
    <t>Aktivnost J011017T101701</t>
  </si>
  <si>
    <t>Oprema, informatička oprema, nabava pomagala - OŠ</t>
  </si>
  <si>
    <t>Program J011020</t>
  </si>
  <si>
    <t>Aktivnost J011020A102001</t>
  </si>
  <si>
    <t>Dopunski nastavni i vannastavni program škola i obrazovnih institucija</t>
  </si>
  <si>
    <t>Izvor 1.1.</t>
  </si>
  <si>
    <t>OPĆI PRIHODI I PRIMICI</t>
  </si>
  <si>
    <t>31</t>
  </si>
  <si>
    <t>37</t>
  </si>
  <si>
    <t>Naknade građanima i kućanstvima na temelju osiguranja i druge naknade</t>
  </si>
  <si>
    <t>Aktivnost J011020A102002</t>
  </si>
  <si>
    <t>Izvor 3.1.</t>
  </si>
  <si>
    <t>VLASTITI PRIHODI</t>
  </si>
  <si>
    <t>Izvor 4.3.</t>
  </si>
  <si>
    <t>PRIHODI ZA POSEBNE NAMJENE</t>
  </si>
  <si>
    <t>Izvor 5.2.</t>
  </si>
  <si>
    <t>MINISTARSTVO</t>
  </si>
  <si>
    <t>38</t>
  </si>
  <si>
    <t>Rashodi za donacije, kazne, naknade šteta i kapitalne pomoći</t>
  </si>
  <si>
    <t>Izvor 5.4.</t>
  </si>
  <si>
    <t>Izvor 5.7.</t>
  </si>
  <si>
    <t>MINISTARSTVO - PRIJENOS EU</t>
  </si>
  <si>
    <t>Izvor 5.8.</t>
  </si>
  <si>
    <t>HZZZ</t>
  </si>
  <si>
    <t>Izvor 6.2.</t>
  </si>
  <si>
    <t>DONACIJE</t>
  </si>
  <si>
    <t>Izvor 7.1.</t>
  </si>
  <si>
    <t>PRIH. OD PRODAJE NEFINANCIJE IMOVINE I NAKN. S NASLOVA OSIG.</t>
  </si>
  <si>
    <t>Aktivnost J011020A102010</t>
  </si>
  <si>
    <t>Županija - prijatelj djece</t>
  </si>
  <si>
    <t>Aktivnost J011020T102001</t>
  </si>
  <si>
    <t>Dopunska sredstva za materijalne rashode i opremu škola</t>
  </si>
  <si>
    <t>Aktivnost J011020T102007</t>
  </si>
  <si>
    <t>Baltazar 8</t>
  </si>
  <si>
    <t>Aktivnost J011020T102009</t>
  </si>
  <si>
    <t>MIMO projekta-Baltazar 8</t>
  </si>
  <si>
    <t>Program J011022</t>
  </si>
  <si>
    <t>NPOO-PREDFINANCIRANJE</t>
  </si>
  <si>
    <t>Aktivnost J011022K102201</t>
  </si>
  <si>
    <t>NPOO-predfinanciranje-PK</t>
  </si>
  <si>
    <t>NAZIV</t>
  </si>
  <si>
    <t>KLASA:  400-02/25-01/05</t>
  </si>
  <si>
    <t>URBROJ:  2140-76/06-25-01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</si>
</sst>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41A]#,##0.00;\-#,##0.00"/>
  </numFmts>
  <fonts count="3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i/>
      <sz val="10"/>
      <color indexed="8"/>
      <name val="Arial"/>
      <family val="2"/>
      <charset val="238"/>
    </font>
    <font>
      <sz val="10"/>
      <color theme="1"/>
      <name val="Arial"/>
      <family val="2"/>
      <charset val="238"/>
    </font>
    <font>
      <sz val="11"/>
      <name val="Calibri"/>
      <family val="2"/>
      <charset val="238"/>
      <scheme val="minor"/>
    </font>
    <font>
      <b/>
      <i/>
      <sz val="10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2"/>
      <name val="Arial"/>
      <family val="2"/>
      <charset val="238"/>
    </font>
    <font>
      <sz val="11"/>
      <color indexed="8"/>
      <name val="Arial"/>
      <family val="2"/>
      <charset val="238"/>
    </font>
    <font>
      <sz val="11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1"/>
      <name val="Arial"/>
      <family val="2"/>
      <charset val="238"/>
    </font>
  </fonts>
  <fills count="1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0"/>
      </patternFill>
    </fill>
    <fill>
      <patternFill patternType="solid">
        <fgColor theme="2" tint="-9.9978637043366805E-2"/>
        <bgColor indexed="0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-0.249977111117893"/>
        <bgColor indexed="0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0"/>
      </patternFill>
    </fill>
    <fill>
      <patternFill patternType="solid">
        <fgColor theme="9" tint="0.59999389629810485"/>
        <bgColor indexed="0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0"/>
      </patternFill>
    </fill>
    <fill>
      <patternFill patternType="solid">
        <fgColor theme="9" tint="0.39997558519241921"/>
        <bgColor indexed="0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ck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86">
    <xf numFmtId="0" fontId="0" fillId="0" borderId="0" xfId="0"/>
    <xf numFmtId="0" fontId="2" fillId="0" borderId="0" xfId="0" applyNumberFormat="1" applyFont="1" applyFill="1" applyBorder="1" applyAlignment="1" applyProtection="1">
      <alignment horizontal="left" wrapText="1"/>
    </xf>
    <xf numFmtId="0" fontId="4" fillId="0" borderId="0" xfId="0" applyNumberFormat="1" applyFont="1" applyFill="1" applyBorder="1" applyAlignment="1" applyProtection="1">
      <alignment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10" fillId="2" borderId="3" xfId="0" applyNumberFormat="1" applyFont="1" applyFill="1" applyBorder="1" applyAlignment="1" applyProtection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/>
    </xf>
    <xf numFmtId="0" fontId="9" fillId="2" borderId="3" xfId="0" quotePrefix="1" applyFont="1" applyFill="1" applyBorder="1" applyAlignment="1">
      <alignment horizontal="left" vertical="center"/>
    </xf>
    <xf numFmtId="0" fontId="10" fillId="2" borderId="3" xfId="0" applyFont="1" applyFill="1" applyBorder="1" applyAlignment="1">
      <alignment horizontal="left" vertical="center"/>
    </xf>
    <xf numFmtId="0" fontId="8" fillId="2" borderId="3" xfId="0" applyNumberFormat="1" applyFont="1" applyFill="1" applyBorder="1" applyAlignment="1" applyProtection="1">
      <alignment horizontal="left" vertical="center" wrapText="1"/>
    </xf>
    <xf numFmtId="0" fontId="9" fillId="2" borderId="3" xfId="0" quotePrefix="1" applyFont="1" applyFill="1" applyBorder="1" applyAlignment="1">
      <alignment horizontal="left" vertical="center" wrapText="1"/>
    </xf>
    <xf numFmtId="0" fontId="9" fillId="2" borderId="3" xfId="0" applyNumberFormat="1" applyFont="1" applyFill="1" applyBorder="1" applyAlignment="1" applyProtection="1">
      <alignment horizontal="left" vertical="center" wrapText="1"/>
    </xf>
    <xf numFmtId="0" fontId="6" fillId="4" borderId="4" xfId="0" applyNumberFormat="1" applyFont="1" applyFill="1" applyBorder="1" applyAlignment="1" applyProtection="1">
      <alignment horizontal="center" vertical="center" wrapText="1"/>
    </xf>
    <xf numFmtId="0" fontId="6" fillId="4" borderId="3" xfId="0" applyNumberFormat="1" applyFont="1" applyFill="1" applyBorder="1" applyAlignment="1" applyProtection="1">
      <alignment horizontal="center" vertical="center" wrapText="1"/>
    </xf>
    <xf numFmtId="0" fontId="2" fillId="0" borderId="0" xfId="0" quotePrefix="1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10" fillId="2" borderId="3" xfId="0" applyNumberFormat="1" applyFont="1" applyFill="1" applyBorder="1" applyAlignment="1" applyProtection="1">
      <alignment vertical="center" wrapText="1"/>
    </xf>
    <xf numFmtId="0" fontId="8" fillId="2" borderId="3" xfId="0" applyNumberFormat="1" applyFont="1" applyFill="1" applyBorder="1" applyAlignment="1" applyProtection="1">
      <alignment vertical="center" wrapText="1"/>
    </xf>
    <xf numFmtId="0" fontId="10" fillId="2" borderId="3" xfId="0" quotePrefix="1" applyFont="1" applyFill="1" applyBorder="1" applyAlignment="1">
      <alignment horizontal="left" vertical="center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NumberFormat="1" applyFont="1" applyFill="1" applyBorder="1" applyAlignment="1" applyProtection="1">
      <alignment horizontal="left"/>
    </xf>
    <xf numFmtId="0" fontId="10" fillId="3" borderId="1" xfId="0" applyFont="1" applyFill="1" applyBorder="1" applyAlignment="1">
      <alignment horizontal="left" vertical="center"/>
    </xf>
    <xf numFmtId="0" fontId="0" fillId="0" borderId="3" xfId="0" applyBorder="1"/>
    <xf numFmtId="0" fontId="10" fillId="5" borderId="3" xfId="0" applyNumberFormat="1" applyFont="1" applyFill="1" applyBorder="1" applyAlignment="1" applyProtection="1">
      <alignment horizontal="left" vertical="center"/>
    </xf>
    <xf numFmtId="0" fontId="10" fillId="5" borderId="3" xfId="0" applyNumberFormat="1" applyFont="1" applyFill="1" applyBorder="1" applyAlignment="1" applyProtection="1">
      <alignment vertical="center" wrapText="1"/>
    </xf>
    <xf numFmtId="2" fontId="2" fillId="0" borderId="0" xfId="0" applyNumberFormat="1" applyFont="1" applyFill="1" applyBorder="1" applyAlignment="1" applyProtection="1">
      <alignment horizontal="center" vertical="center" wrapText="1"/>
    </xf>
    <xf numFmtId="2" fontId="0" fillId="0" borderId="0" xfId="0" applyNumberFormat="1"/>
    <xf numFmtId="4" fontId="6" fillId="4" borderId="3" xfId="0" applyNumberFormat="1" applyFont="1" applyFill="1" applyBorder="1" applyAlignment="1" applyProtection="1">
      <alignment horizontal="center" vertical="center" wrapText="1"/>
    </xf>
    <xf numFmtId="0" fontId="9" fillId="2" borderId="3" xfId="0" applyNumberFormat="1" applyFont="1" applyFill="1" applyBorder="1" applyAlignment="1" applyProtection="1">
      <alignment vertical="center" wrapText="1"/>
    </xf>
    <xf numFmtId="0" fontId="18" fillId="2" borderId="3" xfId="0" applyFont="1" applyFill="1" applyBorder="1" applyAlignment="1">
      <alignment horizontal="left" vertical="center"/>
    </xf>
    <xf numFmtId="4" fontId="0" fillId="0" borderId="3" xfId="0" applyNumberFormat="1" applyBorder="1"/>
    <xf numFmtId="4" fontId="17" fillId="0" borderId="3" xfId="0" applyNumberFormat="1" applyFont="1" applyBorder="1"/>
    <xf numFmtId="4" fontId="1" fillId="0" borderId="3" xfId="0" applyNumberFormat="1" applyFont="1" applyBorder="1"/>
    <xf numFmtId="4" fontId="6" fillId="6" borderId="3" xfId="0" applyNumberFormat="1" applyFont="1" applyFill="1" applyBorder="1" applyAlignment="1">
      <alignment horizontal="right"/>
    </xf>
    <xf numFmtId="0" fontId="8" fillId="7" borderId="3" xfId="0" applyNumberFormat="1" applyFont="1" applyFill="1" applyBorder="1" applyAlignment="1" applyProtection="1">
      <alignment horizontal="left" vertical="center" wrapText="1"/>
    </xf>
    <xf numFmtId="0" fontId="10" fillId="6" borderId="3" xfId="0" applyNumberFormat="1" applyFont="1" applyFill="1" applyBorder="1" applyAlignment="1" applyProtection="1">
      <alignment horizontal="left" vertical="center" wrapText="1"/>
    </xf>
    <xf numFmtId="0" fontId="8" fillId="7" borderId="3" xfId="0" quotePrefix="1" applyFont="1" applyFill="1" applyBorder="1" applyAlignment="1">
      <alignment horizontal="left" vertical="center"/>
    </xf>
    <xf numFmtId="0" fontId="9" fillId="7" borderId="3" xfId="0" quotePrefix="1" applyFont="1" applyFill="1" applyBorder="1" applyAlignment="1">
      <alignment horizontal="left" vertical="center"/>
    </xf>
    <xf numFmtId="0" fontId="9" fillId="7" borderId="3" xfId="0" quotePrefix="1" applyFont="1" applyFill="1" applyBorder="1" applyAlignment="1">
      <alignment horizontal="left" vertical="center" wrapText="1"/>
    </xf>
    <xf numFmtId="0" fontId="8" fillId="6" borderId="3" xfId="0" applyNumberFormat="1" applyFont="1" applyFill="1" applyBorder="1" applyAlignment="1" applyProtection="1">
      <alignment horizontal="left" vertical="center" wrapText="1"/>
    </xf>
    <xf numFmtId="0" fontId="10" fillId="6" borderId="3" xfId="0" applyNumberFormat="1" applyFont="1" applyFill="1" applyBorder="1" applyAlignment="1" applyProtection="1">
      <alignment vertical="center" wrapText="1"/>
    </xf>
    <xf numFmtId="4" fontId="6" fillId="2" borderId="3" xfId="0" applyNumberFormat="1" applyFont="1" applyFill="1" applyBorder="1" applyAlignment="1">
      <alignment horizontal="right"/>
    </xf>
    <xf numFmtId="0" fontId="10" fillId="6" borderId="3" xfId="0" applyNumberFormat="1" applyFont="1" applyFill="1" applyBorder="1" applyAlignment="1" applyProtection="1">
      <alignment horizontal="left" vertical="center"/>
    </xf>
    <xf numFmtId="0" fontId="8" fillId="7" borderId="3" xfId="0" quotePrefix="1" applyFont="1" applyFill="1" applyBorder="1" applyAlignment="1">
      <alignment horizontal="left" vertical="center" wrapText="1"/>
    </xf>
    <xf numFmtId="0" fontId="8" fillId="7" borderId="3" xfId="0" applyNumberFormat="1" applyFont="1" applyFill="1" applyBorder="1" applyAlignment="1" applyProtection="1">
      <alignment vertical="center" wrapText="1"/>
    </xf>
    <xf numFmtId="16" fontId="9" fillId="2" borderId="3" xfId="0" quotePrefix="1" applyNumberFormat="1" applyFont="1" applyFill="1" applyBorder="1" applyAlignment="1">
      <alignment horizontal="left" vertical="center"/>
    </xf>
    <xf numFmtId="0" fontId="9" fillId="2" borderId="3" xfId="0" quotePrefix="1" applyNumberFormat="1" applyFont="1" applyFill="1" applyBorder="1" applyAlignment="1" applyProtection="1">
      <alignment horizontal="left"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1" fillId="0" borderId="0" xfId="0" applyFont="1" applyAlignment="1">
      <alignment wrapText="1"/>
    </xf>
    <xf numFmtId="0" fontId="8" fillId="3" borderId="2" xfId="0" applyNumberFormat="1" applyFont="1" applyFill="1" applyBorder="1" applyAlignment="1" applyProtection="1">
      <alignment vertical="center"/>
    </xf>
    <xf numFmtId="4" fontId="8" fillId="7" borderId="3" xfId="0" applyNumberFormat="1" applyFont="1" applyFill="1" applyBorder="1" applyAlignment="1" applyProtection="1">
      <alignment horizontal="right" vertical="center" wrapText="1"/>
    </xf>
    <xf numFmtId="4" fontId="8" fillId="2" borderId="3" xfId="0" applyNumberFormat="1" applyFont="1" applyFill="1" applyBorder="1" applyAlignment="1" applyProtection="1">
      <alignment horizontal="right" vertical="center" wrapText="1"/>
    </xf>
    <xf numFmtId="4" fontId="10" fillId="6" borderId="3" xfId="0" applyNumberFormat="1" applyFont="1" applyFill="1" applyBorder="1" applyAlignment="1" applyProtection="1">
      <alignment horizontal="right" vertical="center" wrapText="1"/>
    </xf>
    <xf numFmtId="4" fontId="8" fillId="2" borderId="3" xfId="0" quotePrefix="1" applyNumberFormat="1" applyFont="1" applyFill="1" applyBorder="1" applyAlignment="1">
      <alignment horizontal="right" vertical="center"/>
    </xf>
    <xf numFmtId="4" fontId="8" fillId="7" borderId="3" xfId="0" applyNumberFormat="1" applyFont="1" applyFill="1" applyBorder="1" applyAlignment="1" applyProtection="1">
      <alignment vertical="center" wrapText="1"/>
    </xf>
    <xf numFmtId="4" fontId="8" fillId="2" borderId="3" xfId="0" quotePrefix="1" applyNumberFormat="1" applyFont="1" applyFill="1" applyBorder="1" applyAlignment="1">
      <alignment vertical="center"/>
    </xf>
    <xf numFmtId="4" fontId="10" fillId="5" borderId="3" xfId="0" applyNumberFormat="1" applyFont="1" applyFill="1" applyBorder="1" applyAlignment="1" applyProtection="1">
      <alignment vertical="center" wrapText="1"/>
    </xf>
    <xf numFmtId="4" fontId="8" fillId="2" borderId="3" xfId="0" applyNumberFormat="1" applyFont="1" applyFill="1" applyBorder="1" applyAlignment="1" applyProtection="1">
      <alignment vertical="center" wrapText="1"/>
    </xf>
    <xf numFmtId="4" fontId="10" fillId="6" borderId="3" xfId="0" applyNumberFormat="1" applyFont="1" applyFill="1" applyBorder="1" applyAlignment="1" applyProtection="1">
      <alignment vertical="center" wrapText="1"/>
    </xf>
    <xf numFmtId="4" fontId="3" fillId="7" borderId="3" xfId="0" applyNumberFormat="1" applyFont="1" applyFill="1" applyBorder="1" applyAlignment="1">
      <alignment vertical="center"/>
    </xf>
    <xf numFmtId="4" fontId="16" fillId="2" borderId="3" xfId="0" applyNumberFormat="1" applyFont="1" applyFill="1" applyBorder="1" applyAlignment="1">
      <alignment vertical="center"/>
    </xf>
    <xf numFmtId="4" fontId="3" fillId="2" borderId="3" xfId="0" applyNumberFormat="1" applyFont="1" applyFill="1" applyBorder="1" applyAlignment="1">
      <alignment vertical="center"/>
    </xf>
    <xf numFmtId="4" fontId="3" fillId="5" borderId="3" xfId="0" applyNumberFormat="1" applyFont="1" applyFill="1" applyBorder="1" applyAlignment="1">
      <alignment vertical="center"/>
    </xf>
    <xf numFmtId="4" fontId="1" fillId="0" borderId="3" xfId="0" applyNumberFormat="1" applyFont="1" applyBorder="1" applyAlignment="1">
      <alignment vertical="center"/>
    </xf>
    <xf numFmtId="4" fontId="6" fillId="2" borderId="3" xfId="0" applyNumberFormat="1" applyFont="1" applyFill="1" applyBorder="1" applyAlignment="1">
      <alignment vertical="center"/>
    </xf>
    <xf numFmtId="4" fontId="8" fillId="7" borderId="3" xfId="0" quotePrefix="1" applyNumberFormat="1" applyFont="1" applyFill="1" applyBorder="1" applyAlignment="1">
      <alignment vertical="center" wrapText="1"/>
    </xf>
    <xf numFmtId="4" fontId="8" fillId="2" borderId="3" xfId="0" quotePrefix="1" applyNumberFormat="1" applyFont="1" applyFill="1" applyBorder="1" applyAlignment="1">
      <alignment vertical="center" wrapText="1"/>
    </xf>
    <xf numFmtId="4" fontId="8" fillId="7" borderId="3" xfId="0" quotePrefix="1" applyNumberFormat="1" applyFont="1" applyFill="1" applyBorder="1" applyAlignment="1">
      <alignment horizontal="right" vertical="center"/>
    </xf>
    <xf numFmtId="4" fontId="8" fillId="7" borderId="3" xfId="0" quotePrefix="1" applyNumberFormat="1" applyFont="1" applyFill="1" applyBorder="1" applyAlignment="1">
      <alignment horizontal="right" vertical="center" wrapText="1"/>
    </xf>
    <xf numFmtId="4" fontId="8" fillId="2" borderId="3" xfId="0" quotePrefix="1" applyNumberFormat="1" applyFont="1" applyFill="1" applyBorder="1" applyAlignment="1">
      <alignment horizontal="right" vertical="center" wrapText="1"/>
    </xf>
    <xf numFmtId="4" fontId="6" fillId="4" borderId="4" xfId="0" applyNumberFormat="1" applyFont="1" applyFill="1" applyBorder="1" applyAlignment="1" applyProtection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3" fillId="0" borderId="0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>
      <alignment horizontal="center" vertical="center" wrapText="1"/>
    </xf>
    <xf numFmtId="0" fontId="19" fillId="0" borderId="0" xfId="0" applyFont="1" applyAlignment="1">
      <alignment wrapText="1"/>
    </xf>
    <xf numFmtId="0" fontId="20" fillId="0" borderId="0" xfId="0" quotePrefix="1" applyNumberFormat="1" applyFont="1" applyFill="1" applyBorder="1" applyAlignment="1" applyProtection="1">
      <alignment horizontal="center" vertical="center" wrapText="1"/>
    </xf>
    <xf numFmtId="0" fontId="21" fillId="0" borderId="0" xfId="0" applyNumberFormat="1" applyFont="1" applyFill="1" applyBorder="1" applyAlignment="1" applyProtection="1">
      <alignment horizontal="center" vertical="center" wrapText="1"/>
    </xf>
    <xf numFmtId="0" fontId="8" fillId="0" borderId="0" xfId="0" applyNumberFormat="1" applyFont="1" applyFill="1" applyBorder="1" applyAlignment="1" applyProtection="1"/>
    <xf numFmtId="0" fontId="10" fillId="0" borderId="1" xfId="0" quotePrefix="1" applyFont="1" applyBorder="1" applyAlignment="1">
      <alignment horizontal="left" wrapText="1"/>
    </xf>
    <xf numFmtId="0" fontId="10" fillId="0" borderId="2" xfId="0" quotePrefix="1" applyFont="1" applyBorder="1" applyAlignment="1">
      <alignment horizontal="left" wrapText="1"/>
    </xf>
    <xf numFmtId="0" fontId="10" fillId="0" borderId="2" xfId="0" quotePrefix="1" applyFont="1" applyBorder="1" applyAlignment="1">
      <alignment horizontal="center" wrapText="1"/>
    </xf>
    <xf numFmtId="0" fontId="10" fillId="0" borderId="2" xfId="0" quotePrefix="1" applyNumberFormat="1" applyFont="1" applyFill="1" applyBorder="1" applyAlignment="1" applyProtection="1">
      <alignment horizontal="left"/>
    </xf>
    <xf numFmtId="4" fontId="3" fillId="7" borderId="3" xfId="0" applyNumberFormat="1" applyFont="1" applyFill="1" applyBorder="1" applyAlignment="1">
      <alignment horizontal="right" vertical="center"/>
    </xf>
    <xf numFmtId="4" fontId="6" fillId="6" borderId="3" xfId="0" applyNumberFormat="1" applyFont="1" applyFill="1" applyBorder="1" applyAlignment="1">
      <alignment horizontal="right" vertical="center"/>
    </xf>
    <xf numFmtId="4" fontId="3" fillId="2" borderId="3" xfId="0" applyNumberFormat="1" applyFont="1" applyFill="1" applyBorder="1" applyAlignment="1">
      <alignment horizontal="right" vertical="center"/>
    </xf>
    <xf numFmtId="4" fontId="16" fillId="2" borderId="3" xfId="0" applyNumberFormat="1" applyFont="1" applyFill="1" applyBorder="1" applyAlignment="1">
      <alignment horizontal="right" vertical="center"/>
    </xf>
    <xf numFmtId="4" fontId="6" fillId="6" borderId="3" xfId="0" applyNumberFormat="1" applyFont="1" applyFill="1" applyBorder="1" applyAlignment="1">
      <alignment vertical="center"/>
    </xf>
    <xf numFmtId="0" fontId="10" fillId="7" borderId="3" xfId="0" applyNumberFormat="1" applyFont="1" applyFill="1" applyBorder="1" applyAlignment="1" applyProtection="1">
      <alignment vertical="center" wrapText="1"/>
    </xf>
    <xf numFmtId="0" fontId="10" fillId="7" borderId="3" xfId="0" applyNumberFormat="1" applyFont="1" applyFill="1" applyBorder="1" applyAlignment="1" applyProtection="1">
      <alignment horizontal="left" vertical="center" wrapText="1"/>
    </xf>
    <xf numFmtId="4" fontId="10" fillId="7" borderId="3" xfId="0" applyNumberFormat="1" applyFont="1" applyFill="1" applyBorder="1" applyAlignment="1" applyProtection="1">
      <alignment horizontal="right"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1" fillId="0" borderId="0" xfId="0" applyFont="1"/>
    <xf numFmtId="4" fontId="6" fillId="3" borderId="3" xfId="0" applyNumberFormat="1" applyFont="1" applyFill="1" applyBorder="1" applyAlignment="1">
      <alignment horizontal="right"/>
    </xf>
    <xf numFmtId="4" fontId="6" fillId="0" borderId="3" xfId="0" applyNumberFormat="1" applyFont="1" applyFill="1" applyBorder="1" applyAlignment="1">
      <alignment horizontal="right"/>
    </xf>
    <xf numFmtId="4" fontId="6" fillId="0" borderId="3" xfId="0" applyNumberFormat="1" applyFont="1" applyBorder="1" applyAlignment="1">
      <alignment horizontal="right"/>
    </xf>
    <xf numFmtId="4" fontId="10" fillId="4" borderId="1" xfId="0" quotePrefix="1" applyNumberFormat="1" applyFont="1" applyFill="1" applyBorder="1" applyAlignment="1">
      <alignment horizontal="right"/>
    </xf>
    <xf numFmtId="4" fontId="10" fillId="2" borderId="1" xfId="0" quotePrefix="1" applyNumberFormat="1" applyFont="1" applyFill="1" applyBorder="1" applyAlignment="1">
      <alignment horizontal="right"/>
    </xf>
    <xf numFmtId="4" fontId="10" fillId="3" borderId="1" xfId="0" quotePrefix="1" applyNumberFormat="1" applyFont="1" applyFill="1" applyBorder="1" applyAlignment="1">
      <alignment horizontal="right"/>
    </xf>
    <xf numFmtId="4" fontId="6" fillId="3" borderId="1" xfId="0" quotePrefix="1" applyNumberFormat="1" applyFont="1" applyFill="1" applyBorder="1" applyAlignment="1">
      <alignment horizontal="right"/>
    </xf>
    <xf numFmtId="4" fontId="6" fillId="4" borderId="3" xfId="0" applyNumberFormat="1" applyFont="1" applyFill="1" applyBorder="1" applyAlignment="1" applyProtection="1">
      <alignment horizontal="right" vertical="center" wrapText="1"/>
    </xf>
    <xf numFmtId="4" fontId="3" fillId="2" borderId="3" xfId="0" quotePrefix="1" applyNumberFormat="1" applyFont="1" applyFill="1" applyBorder="1" applyAlignment="1">
      <alignment horizontal="right" vertical="center"/>
    </xf>
    <xf numFmtId="0" fontId="10" fillId="7" borderId="3" xfId="0" applyFont="1" applyFill="1" applyBorder="1" applyAlignment="1">
      <alignment horizontal="left" vertical="center"/>
    </xf>
    <xf numFmtId="0" fontId="10" fillId="7" borderId="3" xfId="0" applyNumberFormat="1" applyFont="1" applyFill="1" applyBorder="1" applyAlignment="1" applyProtection="1">
      <alignment horizontal="left" vertical="center"/>
    </xf>
    <xf numFmtId="2" fontId="3" fillId="2" borderId="3" xfId="0" quotePrefix="1" applyNumberFormat="1" applyFont="1" applyFill="1" applyBorder="1" applyAlignment="1">
      <alignment horizontal="right" vertical="center"/>
    </xf>
    <xf numFmtId="0" fontId="9" fillId="2" borderId="3" xfId="0" applyFont="1" applyFill="1" applyBorder="1" applyAlignment="1">
      <alignment horizontal="left" vertical="center"/>
    </xf>
    <xf numFmtId="0" fontId="20" fillId="0" borderId="0" xfId="0" applyNumberFormat="1" applyFont="1" applyFill="1" applyBorder="1" applyAlignment="1" applyProtection="1">
      <alignment horizontal="center" vertical="center" wrapText="1"/>
    </xf>
    <xf numFmtId="0" fontId="20" fillId="0" borderId="0" xfId="0" applyNumberFormat="1" applyFont="1" applyFill="1" applyBorder="1" applyAlignment="1" applyProtection="1">
      <alignment vertical="center" wrapText="1"/>
    </xf>
    <xf numFmtId="0" fontId="5" fillId="0" borderId="0" xfId="0" applyNumberFormat="1" applyFont="1" applyFill="1" applyBorder="1" applyAlignment="1" applyProtection="1">
      <alignment vertical="center" wrapText="1"/>
    </xf>
    <xf numFmtId="0" fontId="6" fillId="4" borderId="4" xfId="0" applyNumberFormat="1" applyFont="1" applyFill="1" applyBorder="1" applyAlignment="1" applyProtection="1">
      <alignment horizontal="center" vertical="center" wrapText="1"/>
    </xf>
    <xf numFmtId="4" fontId="10" fillId="2" borderId="3" xfId="0" applyNumberFormat="1" applyFont="1" applyFill="1" applyBorder="1" applyAlignment="1">
      <alignment horizontal="right"/>
    </xf>
    <xf numFmtId="0" fontId="10" fillId="4" borderId="3" xfId="0" applyNumberFormat="1" applyFont="1" applyFill="1" applyBorder="1" applyAlignment="1" applyProtection="1">
      <alignment horizontal="center" vertical="center" wrapText="1"/>
    </xf>
    <xf numFmtId="0" fontId="8" fillId="0" borderId="0" xfId="0" applyNumberFormat="1" applyFont="1" applyFill="1" applyBorder="1" applyAlignment="1" applyProtection="1">
      <alignment vertical="center" wrapText="1"/>
    </xf>
    <xf numFmtId="0" fontId="22" fillId="0" borderId="5" xfId="0" applyFont="1" applyBorder="1" applyAlignment="1">
      <alignment horizontal="center" vertical="center"/>
    </xf>
    <xf numFmtId="4" fontId="10" fillId="3" borderId="3" xfId="0" applyNumberFormat="1" applyFont="1" applyFill="1" applyBorder="1" applyAlignment="1">
      <alignment horizontal="right"/>
    </xf>
    <xf numFmtId="4" fontId="10" fillId="0" borderId="3" xfId="0" applyNumberFormat="1" applyFont="1" applyFill="1" applyBorder="1" applyAlignment="1">
      <alignment horizontal="right"/>
    </xf>
    <xf numFmtId="4" fontId="10" fillId="0" borderId="3" xfId="0" applyNumberFormat="1" applyFont="1" applyBorder="1" applyAlignment="1">
      <alignment horizontal="right"/>
    </xf>
    <xf numFmtId="0" fontId="17" fillId="0" borderId="0" xfId="0" applyFont="1"/>
    <xf numFmtId="2" fontId="17" fillId="0" borderId="0" xfId="0" applyNumberFormat="1" applyFont="1"/>
    <xf numFmtId="2" fontId="8" fillId="0" borderId="0" xfId="0" applyNumberFormat="1" applyFont="1" applyFill="1" applyBorder="1" applyAlignment="1" applyProtection="1">
      <alignment vertical="center" wrapText="1"/>
    </xf>
    <xf numFmtId="4" fontId="10" fillId="4" borderId="3" xfId="0" applyNumberFormat="1" applyFont="1" applyFill="1" applyBorder="1" applyAlignment="1" applyProtection="1">
      <alignment horizontal="center" vertical="center" wrapText="1"/>
    </xf>
    <xf numFmtId="4" fontId="10" fillId="6" borderId="3" xfId="0" applyNumberFormat="1" applyFont="1" applyFill="1" applyBorder="1" applyAlignment="1">
      <alignment horizontal="right"/>
    </xf>
    <xf numFmtId="4" fontId="8" fillId="7" borderId="3" xfId="0" applyNumberFormat="1" applyFont="1" applyFill="1" applyBorder="1" applyAlignment="1">
      <alignment vertical="center"/>
    </xf>
    <xf numFmtId="4" fontId="8" fillId="2" borderId="3" xfId="0" applyNumberFormat="1" applyFont="1" applyFill="1" applyBorder="1" applyAlignment="1">
      <alignment vertical="center"/>
    </xf>
    <xf numFmtId="4" fontId="8" fillId="5" borderId="3" xfId="0" applyNumberFormat="1" applyFont="1" applyFill="1" applyBorder="1" applyAlignment="1">
      <alignment vertical="center"/>
    </xf>
    <xf numFmtId="4" fontId="10" fillId="6" borderId="3" xfId="0" applyNumberFormat="1" applyFont="1" applyFill="1" applyBorder="1" applyAlignment="1">
      <alignment vertical="center"/>
    </xf>
    <xf numFmtId="4" fontId="10" fillId="2" borderId="3" xfId="0" applyNumberFormat="1" applyFont="1" applyFill="1" applyBorder="1" applyAlignment="1">
      <alignment vertical="center"/>
    </xf>
    <xf numFmtId="4" fontId="10" fillId="4" borderId="3" xfId="0" applyNumberFormat="1" applyFont="1" applyFill="1" applyBorder="1" applyAlignment="1" applyProtection="1">
      <alignment horizontal="right" vertical="center" wrapText="1"/>
    </xf>
    <xf numFmtId="4" fontId="22" fillId="0" borderId="3" xfId="0" applyNumberFormat="1" applyFont="1" applyBorder="1"/>
    <xf numFmtId="0" fontId="23" fillId="0" borderId="0" xfId="0" applyNumberFormat="1" applyFont="1" applyFill="1" applyBorder="1" applyAlignment="1" applyProtection="1">
      <alignment vertical="center" wrapText="1"/>
    </xf>
    <xf numFmtId="0" fontId="0" fillId="3" borderId="3" xfId="0" applyFill="1" applyBorder="1"/>
    <xf numFmtId="10" fontId="0" fillId="0" borderId="3" xfId="0" applyNumberFormat="1" applyBorder="1"/>
    <xf numFmtId="10" fontId="1" fillId="6" borderId="3" xfId="0" applyNumberFormat="1" applyFont="1" applyFill="1" applyBorder="1"/>
    <xf numFmtId="4" fontId="1" fillId="6" borderId="3" xfId="0" applyNumberFormat="1" applyFont="1" applyFill="1" applyBorder="1"/>
    <xf numFmtId="10" fontId="1" fillId="4" borderId="3" xfId="0" applyNumberFormat="1" applyFont="1" applyFill="1" applyBorder="1"/>
    <xf numFmtId="4" fontId="1" fillId="4" borderId="3" xfId="0" applyNumberFormat="1" applyFont="1" applyFill="1" applyBorder="1"/>
    <xf numFmtId="10" fontId="0" fillId="7" borderId="3" xfId="0" applyNumberFormat="1" applyFill="1" applyBorder="1" applyAlignment="1">
      <alignment vertical="center"/>
    </xf>
    <xf numFmtId="4" fontId="0" fillId="7" borderId="3" xfId="0" applyNumberFormat="1" applyFill="1" applyBorder="1" applyAlignment="1">
      <alignment vertical="center"/>
    </xf>
    <xf numFmtId="10" fontId="0" fillId="0" borderId="3" xfId="0" applyNumberFormat="1" applyBorder="1" applyAlignment="1">
      <alignment vertical="center"/>
    </xf>
    <xf numFmtId="4" fontId="0" fillId="0" borderId="3" xfId="0" applyNumberFormat="1" applyBorder="1" applyAlignment="1">
      <alignment vertical="center"/>
    </xf>
    <xf numFmtId="10" fontId="1" fillId="0" borderId="3" xfId="0" applyNumberFormat="1" applyFont="1" applyBorder="1"/>
    <xf numFmtId="0" fontId="0" fillId="0" borderId="0" xfId="0" applyAlignment="1">
      <alignment vertical="center"/>
    </xf>
    <xf numFmtId="10" fontId="1" fillId="6" borderId="3" xfId="0" applyNumberFormat="1" applyFont="1" applyFill="1" applyBorder="1" applyAlignment="1">
      <alignment vertical="center"/>
    </xf>
    <xf numFmtId="4" fontId="1" fillId="6" borderId="3" xfId="0" applyNumberFormat="1" applyFont="1" applyFill="1" applyBorder="1" applyAlignment="1">
      <alignment vertical="center"/>
    </xf>
    <xf numFmtId="10" fontId="1" fillId="4" borderId="3" xfId="0" applyNumberFormat="1" applyFont="1" applyFill="1" applyBorder="1" applyAlignment="1">
      <alignment vertical="center"/>
    </xf>
    <xf numFmtId="4" fontId="1" fillId="4" borderId="3" xfId="0" applyNumberFormat="1" applyFont="1" applyFill="1" applyBorder="1" applyAlignment="1">
      <alignment vertical="center"/>
    </xf>
    <xf numFmtId="2" fontId="10" fillId="6" borderId="3" xfId="0" applyNumberFormat="1" applyFont="1" applyFill="1" applyBorder="1" applyAlignment="1" applyProtection="1">
      <alignment horizontal="right" vertical="center" wrapText="1"/>
    </xf>
    <xf numFmtId="2" fontId="6" fillId="6" borderId="3" xfId="0" applyNumberFormat="1" applyFont="1" applyFill="1" applyBorder="1" applyAlignment="1">
      <alignment horizontal="right" vertical="center"/>
    </xf>
    <xf numFmtId="2" fontId="10" fillId="6" borderId="3" xfId="0" applyNumberFormat="1" applyFont="1" applyFill="1" applyBorder="1" applyAlignment="1">
      <alignment horizontal="right" vertical="center"/>
    </xf>
    <xf numFmtId="2" fontId="10" fillId="7" borderId="3" xfId="0" applyNumberFormat="1" applyFont="1" applyFill="1" applyBorder="1" applyAlignment="1" applyProtection="1">
      <alignment horizontal="right" vertical="center" wrapText="1"/>
    </xf>
    <xf numFmtId="2" fontId="6" fillId="7" borderId="3" xfId="0" applyNumberFormat="1" applyFont="1" applyFill="1" applyBorder="1" applyAlignment="1">
      <alignment horizontal="right" vertical="center"/>
    </xf>
    <xf numFmtId="2" fontId="10" fillId="7" borderId="3" xfId="0" applyNumberFormat="1" applyFont="1" applyFill="1" applyBorder="1" applyAlignment="1">
      <alignment horizontal="right" vertical="center"/>
    </xf>
    <xf numFmtId="2" fontId="9" fillId="2" borderId="3" xfId="0" quotePrefix="1" applyNumberFormat="1" applyFont="1" applyFill="1" applyBorder="1" applyAlignment="1">
      <alignment horizontal="right" vertical="center" wrapText="1"/>
    </xf>
    <xf numFmtId="2" fontId="15" fillId="2" borderId="3" xfId="0" applyNumberFormat="1" applyFont="1" applyFill="1" applyBorder="1" applyAlignment="1">
      <alignment horizontal="right" vertical="center"/>
    </xf>
    <xf numFmtId="2" fontId="9" fillId="2" borderId="3" xfId="0" applyNumberFormat="1" applyFont="1" applyFill="1" applyBorder="1" applyAlignment="1">
      <alignment horizontal="right" vertical="center"/>
    </xf>
    <xf numFmtId="2" fontId="10" fillId="2" borderId="3" xfId="0" applyNumberFormat="1" applyFont="1" applyFill="1" applyBorder="1" applyAlignment="1" applyProtection="1">
      <alignment horizontal="right" vertical="center" wrapText="1"/>
    </xf>
    <xf numFmtId="2" fontId="6" fillId="2" borderId="3" xfId="0" applyNumberFormat="1" applyFont="1" applyFill="1" applyBorder="1" applyAlignment="1">
      <alignment horizontal="right" vertical="center"/>
    </xf>
    <xf numFmtId="2" fontId="10" fillId="2" borderId="3" xfId="0" applyNumberFormat="1" applyFont="1" applyFill="1" applyBorder="1" applyAlignment="1">
      <alignment horizontal="right" vertical="center"/>
    </xf>
    <xf numFmtId="2" fontId="8" fillId="2" borderId="3" xfId="0" applyNumberFormat="1" applyFont="1" applyFill="1" applyBorder="1" applyAlignment="1" applyProtection="1">
      <alignment horizontal="right" vertical="center" wrapText="1"/>
    </xf>
    <xf numFmtId="2" fontId="3" fillId="2" borderId="3" xfId="0" applyNumberFormat="1" applyFont="1" applyFill="1" applyBorder="1" applyAlignment="1">
      <alignment horizontal="right" vertical="center"/>
    </xf>
    <xf numFmtId="2" fontId="8" fillId="2" borderId="3" xfId="0" applyNumberFormat="1" applyFont="1" applyFill="1" applyBorder="1" applyAlignment="1">
      <alignment horizontal="right" vertical="center"/>
    </xf>
    <xf numFmtId="4" fontId="0" fillId="3" borderId="3" xfId="0" applyNumberFormat="1" applyFill="1" applyBorder="1"/>
    <xf numFmtId="4" fontId="0" fillId="2" borderId="3" xfId="0" applyNumberFormat="1" applyFill="1" applyBorder="1"/>
    <xf numFmtId="4" fontId="10" fillId="4" borderId="3" xfId="0" quotePrefix="1" applyNumberFormat="1" applyFont="1" applyFill="1" applyBorder="1" applyAlignment="1">
      <alignment horizontal="right"/>
    </xf>
    <xf numFmtId="4" fontId="10" fillId="2" borderId="3" xfId="0" quotePrefix="1" applyNumberFormat="1" applyFont="1" applyFill="1" applyBorder="1" applyAlignment="1">
      <alignment horizontal="right"/>
    </xf>
    <xf numFmtId="4" fontId="10" fillId="3" borderId="3" xfId="0" quotePrefix="1" applyNumberFormat="1" applyFont="1" applyFill="1" applyBorder="1" applyAlignment="1">
      <alignment horizontal="right"/>
    </xf>
    <xf numFmtId="0" fontId="20" fillId="0" borderId="0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4" fontId="10" fillId="2" borderId="3" xfId="0" applyNumberFormat="1" applyFont="1" applyFill="1" applyBorder="1" applyAlignment="1" applyProtection="1">
      <alignment horizontal="right" vertical="center" wrapText="1"/>
    </xf>
    <xf numFmtId="10" fontId="1" fillId="2" borderId="3" xfId="0" applyNumberFormat="1" applyFont="1" applyFill="1" applyBorder="1" applyAlignment="1">
      <alignment vertical="center"/>
    </xf>
    <xf numFmtId="10" fontId="1" fillId="7" borderId="3" xfId="0" applyNumberFormat="1" applyFont="1" applyFill="1" applyBorder="1" applyAlignment="1">
      <alignment vertical="center"/>
    </xf>
    <xf numFmtId="0" fontId="6" fillId="6" borderId="3" xfId="0" applyNumberFormat="1" applyFont="1" applyFill="1" applyBorder="1" applyAlignment="1" applyProtection="1">
      <alignment horizontal="left" vertical="center" wrapText="1"/>
    </xf>
    <xf numFmtId="4" fontId="6" fillId="6" borderId="4" xfId="0" applyNumberFormat="1" applyFont="1" applyFill="1" applyBorder="1" applyAlignment="1" applyProtection="1">
      <alignment vertical="center" wrapText="1"/>
    </xf>
    <xf numFmtId="10" fontId="0" fillId="6" borderId="3" xfId="0" applyNumberFormat="1" applyFill="1" applyBorder="1" applyAlignment="1">
      <alignment vertical="center"/>
    </xf>
    <xf numFmtId="4" fontId="0" fillId="6" borderId="3" xfId="0" applyNumberFormat="1" applyFill="1" applyBorder="1" applyAlignment="1">
      <alignment vertical="center"/>
    </xf>
    <xf numFmtId="4" fontId="6" fillId="7" borderId="3" xfId="0" applyNumberFormat="1" applyFont="1" applyFill="1" applyBorder="1" applyAlignment="1" applyProtection="1">
      <alignment horizontal="right" vertical="center" wrapText="1"/>
    </xf>
    <xf numFmtId="4" fontId="8" fillId="2" borderId="3" xfId="0" applyNumberFormat="1" applyFont="1" applyFill="1" applyBorder="1" applyAlignment="1">
      <alignment horizontal="right" vertical="center"/>
    </xf>
    <xf numFmtId="4" fontId="6" fillId="7" borderId="3" xfId="0" applyNumberFormat="1" applyFont="1" applyFill="1" applyBorder="1" applyAlignment="1">
      <alignment horizontal="right" vertical="center"/>
    </xf>
    <xf numFmtId="4" fontId="10" fillId="7" borderId="3" xfId="0" applyNumberFormat="1" applyFont="1" applyFill="1" applyBorder="1" applyAlignment="1">
      <alignment horizontal="right" vertical="center"/>
    </xf>
    <xf numFmtId="4" fontId="6" fillId="7" borderId="4" xfId="0" applyNumberFormat="1" applyFont="1" applyFill="1" applyBorder="1" applyAlignment="1">
      <alignment horizontal="right" vertical="center"/>
    </xf>
    <xf numFmtId="4" fontId="3" fillId="2" borderId="4" xfId="0" applyNumberFormat="1" applyFont="1" applyFill="1" applyBorder="1" applyAlignment="1">
      <alignment horizontal="right" vertical="center"/>
    </xf>
    <xf numFmtId="0" fontId="6" fillId="7" borderId="3" xfId="0" applyNumberFormat="1" applyFont="1" applyFill="1" applyBorder="1" applyAlignment="1" applyProtection="1">
      <alignment horizontal="left" vertical="center" wrapText="1"/>
    </xf>
    <xf numFmtId="0" fontId="9" fillId="2" borderId="0" xfId="0" quotePrefix="1" applyFont="1" applyFill="1" applyBorder="1" applyAlignment="1">
      <alignment horizontal="left" vertical="center"/>
    </xf>
    <xf numFmtId="4" fontId="3" fillId="2" borderId="0" xfId="0" applyNumberFormat="1" applyFont="1" applyFill="1" applyBorder="1" applyAlignment="1">
      <alignment horizontal="right"/>
    </xf>
    <xf numFmtId="4" fontId="8" fillId="2" borderId="0" xfId="0" applyNumberFormat="1" applyFont="1" applyFill="1" applyBorder="1" applyAlignment="1">
      <alignment horizontal="right"/>
    </xf>
    <xf numFmtId="4" fontId="6" fillId="6" borderId="4" xfId="0" applyNumberFormat="1" applyFont="1" applyFill="1" applyBorder="1" applyAlignment="1" applyProtection="1">
      <alignment horizontal="right" vertical="center" wrapText="1"/>
    </xf>
    <xf numFmtId="4" fontId="6" fillId="6" borderId="3" xfId="0" applyNumberFormat="1" applyFont="1" applyFill="1" applyBorder="1" applyAlignment="1" applyProtection="1">
      <alignment horizontal="right" vertical="center" wrapText="1"/>
    </xf>
    <xf numFmtId="4" fontId="3" fillId="6" borderId="4" xfId="0" applyNumberFormat="1" applyFont="1" applyFill="1" applyBorder="1" applyAlignment="1" applyProtection="1">
      <alignment vertical="center" wrapText="1"/>
    </xf>
    <xf numFmtId="4" fontId="8" fillId="6" borderId="4" xfId="0" applyNumberFormat="1" applyFont="1" applyFill="1" applyBorder="1" applyAlignment="1" applyProtection="1">
      <alignment vertical="center" wrapText="1"/>
    </xf>
    <xf numFmtId="10" fontId="0" fillId="6" borderId="3" xfId="0" applyNumberFormat="1" applyFont="1" applyFill="1" applyBorder="1" applyAlignment="1">
      <alignment vertical="center"/>
    </xf>
    <xf numFmtId="4" fontId="0" fillId="6" borderId="3" xfId="0" applyNumberFormat="1" applyFont="1" applyFill="1" applyBorder="1" applyAlignment="1">
      <alignment vertical="center"/>
    </xf>
    <xf numFmtId="4" fontId="3" fillId="7" borderId="3" xfId="0" applyNumberFormat="1" applyFont="1" applyFill="1" applyBorder="1" applyAlignment="1" applyProtection="1">
      <alignment horizontal="right" vertical="center" wrapText="1"/>
    </xf>
    <xf numFmtId="10" fontId="0" fillId="7" borderId="3" xfId="0" applyNumberFormat="1" applyFont="1" applyFill="1" applyBorder="1" applyAlignment="1">
      <alignment vertical="center"/>
    </xf>
    <xf numFmtId="4" fontId="0" fillId="7" borderId="3" xfId="0" applyNumberFormat="1" applyFont="1" applyFill="1" applyBorder="1" applyAlignment="1">
      <alignment vertical="center"/>
    </xf>
    <xf numFmtId="10" fontId="0" fillId="2" borderId="3" xfId="0" applyNumberFormat="1" applyFont="1" applyFill="1" applyBorder="1" applyAlignment="1">
      <alignment vertical="center"/>
    </xf>
    <xf numFmtId="4" fontId="0" fillId="2" borderId="3" xfId="0" applyNumberFormat="1" applyFont="1" applyFill="1" applyBorder="1" applyAlignment="1">
      <alignment vertical="center"/>
    </xf>
    <xf numFmtId="10" fontId="0" fillId="0" borderId="3" xfId="0" applyNumberFormat="1" applyFont="1" applyBorder="1" applyAlignment="1">
      <alignment vertical="center"/>
    </xf>
    <xf numFmtId="4" fontId="0" fillId="0" borderId="3" xfId="0" applyNumberFormat="1" applyFont="1" applyBorder="1" applyAlignment="1">
      <alignment vertical="center"/>
    </xf>
    <xf numFmtId="4" fontId="8" fillId="7" borderId="3" xfId="0" applyNumberFormat="1" applyFont="1" applyFill="1" applyBorder="1" applyAlignment="1">
      <alignment horizontal="right" vertical="center"/>
    </xf>
    <xf numFmtId="4" fontId="3" fillId="7" borderId="4" xfId="0" applyNumberFormat="1" applyFont="1" applyFill="1" applyBorder="1" applyAlignment="1">
      <alignment horizontal="right" vertical="center"/>
    </xf>
    <xf numFmtId="4" fontId="24" fillId="6" borderId="3" xfId="0" applyNumberFormat="1" applyFont="1" applyFill="1" applyBorder="1" applyAlignment="1" applyProtection="1">
      <alignment horizontal="right" vertical="center" wrapText="1"/>
    </xf>
    <xf numFmtId="4" fontId="24" fillId="7" borderId="3" xfId="0" applyNumberFormat="1" applyFont="1" applyFill="1" applyBorder="1" applyAlignment="1" applyProtection="1">
      <alignment horizontal="right" vertical="center" wrapText="1"/>
    </xf>
    <xf numFmtId="4" fontId="25" fillId="7" borderId="3" xfId="0" applyNumberFormat="1" applyFont="1" applyFill="1" applyBorder="1" applyAlignment="1" applyProtection="1">
      <alignment horizontal="right" vertical="center" wrapText="1"/>
    </xf>
    <xf numFmtId="4" fontId="24" fillId="2" borderId="3" xfId="0" applyNumberFormat="1" applyFont="1" applyFill="1" applyBorder="1" applyAlignment="1">
      <alignment horizontal="right" vertical="center"/>
    </xf>
    <xf numFmtId="4" fontId="25" fillId="2" borderId="3" xfId="0" applyNumberFormat="1" applyFont="1" applyFill="1" applyBorder="1" applyAlignment="1">
      <alignment horizontal="right" vertical="center"/>
    </xf>
    <xf numFmtId="4" fontId="24" fillId="7" borderId="3" xfId="0" applyNumberFormat="1" applyFont="1" applyFill="1" applyBorder="1" applyAlignment="1">
      <alignment horizontal="right" vertical="center"/>
    </xf>
    <xf numFmtId="4" fontId="25" fillId="7" borderId="3" xfId="0" applyNumberFormat="1" applyFont="1" applyFill="1" applyBorder="1" applyAlignment="1">
      <alignment horizontal="right" vertical="center"/>
    </xf>
    <xf numFmtId="4" fontId="25" fillId="6" borderId="3" xfId="0" applyNumberFormat="1" applyFont="1" applyFill="1" applyBorder="1" applyAlignment="1" applyProtection="1">
      <alignment horizontal="right" vertical="center" wrapText="1"/>
    </xf>
    <xf numFmtId="4" fontId="10" fillId="6" borderId="3" xfId="0" applyNumberFormat="1" applyFont="1" applyFill="1" applyBorder="1" applyAlignment="1">
      <alignment horizontal="right" vertical="center"/>
    </xf>
    <xf numFmtId="0" fontId="0" fillId="2" borderId="0" xfId="0" applyFill="1"/>
    <xf numFmtId="0" fontId="0" fillId="0" borderId="0" xfId="0" applyFont="1"/>
    <xf numFmtId="2" fontId="0" fillId="0" borderId="0" xfId="0" applyNumberFormat="1" applyFont="1"/>
    <xf numFmtId="0" fontId="28" fillId="9" borderId="6" xfId="0" applyFont="1" applyFill="1" applyBorder="1" applyAlignment="1" applyProtection="1">
      <alignment vertical="top" wrapText="1" readingOrder="1"/>
      <protection locked="0"/>
    </xf>
    <xf numFmtId="0" fontId="6" fillId="10" borderId="7" xfId="0" applyNumberFormat="1" applyFont="1" applyFill="1" applyBorder="1" applyAlignment="1" applyProtection="1">
      <alignment horizontal="center" vertical="center" wrapText="1"/>
    </xf>
    <xf numFmtId="0" fontId="10" fillId="10" borderId="7" xfId="0" applyNumberFormat="1" applyFont="1" applyFill="1" applyBorder="1" applyAlignment="1" applyProtection="1">
      <alignment horizontal="center" vertical="center" wrapText="1"/>
    </xf>
    <xf numFmtId="164" fontId="27" fillId="17" borderId="3" xfId="0" applyNumberFormat="1" applyFont="1" applyFill="1" applyBorder="1" applyAlignment="1" applyProtection="1">
      <alignment vertical="top" wrapText="1" readingOrder="1"/>
      <protection locked="0"/>
    </xf>
    <xf numFmtId="164" fontId="16" fillId="11" borderId="3" xfId="0" applyNumberFormat="1" applyFont="1" applyFill="1" applyBorder="1" applyAlignment="1" applyProtection="1">
      <alignment vertical="top" wrapText="1" readingOrder="1"/>
      <protection locked="0"/>
    </xf>
    <xf numFmtId="164" fontId="16" fillId="13" borderId="3" xfId="0" applyNumberFormat="1" applyFont="1" applyFill="1" applyBorder="1" applyAlignment="1" applyProtection="1">
      <alignment vertical="top" wrapText="1" readingOrder="1"/>
      <protection locked="0"/>
    </xf>
    <xf numFmtId="164" fontId="16" fillId="14" borderId="3" xfId="0" applyNumberFormat="1" applyFont="1" applyFill="1" applyBorder="1" applyAlignment="1" applyProtection="1">
      <alignment vertical="top" wrapText="1" readingOrder="1"/>
      <protection locked="0"/>
    </xf>
    <xf numFmtId="164" fontId="16" fillId="8" borderId="3" xfId="0" applyNumberFormat="1" applyFont="1" applyFill="1" applyBorder="1" applyAlignment="1" applyProtection="1">
      <alignment vertical="top" wrapText="1" readingOrder="1"/>
      <protection locked="0"/>
    </xf>
    <xf numFmtId="164" fontId="16" fillId="16" borderId="3" xfId="0" applyNumberFormat="1" applyFont="1" applyFill="1" applyBorder="1" applyAlignment="1" applyProtection="1">
      <alignment vertical="top" wrapText="1" readingOrder="1"/>
      <protection locked="0"/>
    </xf>
    <xf numFmtId="10" fontId="27" fillId="17" borderId="3" xfId="0" applyNumberFormat="1" applyFont="1" applyFill="1" applyBorder="1" applyAlignment="1" applyProtection="1">
      <alignment vertical="top" wrapText="1" readingOrder="1"/>
      <protection locked="0"/>
    </xf>
    <xf numFmtId="10" fontId="27" fillId="11" borderId="3" xfId="0" applyNumberFormat="1" applyFont="1" applyFill="1" applyBorder="1" applyAlignment="1" applyProtection="1">
      <alignment vertical="top" wrapText="1" readingOrder="1"/>
      <protection locked="0"/>
    </xf>
    <xf numFmtId="10" fontId="27" fillId="16" borderId="3" xfId="0" applyNumberFormat="1" applyFont="1" applyFill="1" applyBorder="1" applyAlignment="1" applyProtection="1">
      <alignment vertical="top" wrapText="1" readingOrder="1"/>
      <protection locked="0"/>
    </xf>
    <xf numFmtId="10" fontId="27" fillId="13" borderId="3" xfId="0" applyNumberFormat="1" applyFont="1" applyFill="1" applyBorder="1" applyAlignment="1" applyProtection="1">
      <alignment vertical="top" wrapText="1" readingOrder="1"/>
      <protection locked="0"/>
    </xf>
    <xf numFmtId="10" fontId="27" fillId="8" borderId="3" xfId="0" applyNumberFormat="1" applyFont="1" applyFill="1" applyBorder="1" applyAlignment="1" applyProtection="1">
      <alignment vertical="top" wrapText="1" readingOrder="1"/>
      <protection locked="0"/>
    </xf>
    <xf numFmtId="10" fontId="27" fillId="14" borderId="3" xfId="0" applyNumberFormat="1" applyFont="1" applyFill="1" applyBorder="1" applyAlignment="1" applyProtection="1">
      <alignment vertical="top" wrapText="1" readingOrder="1"/>
      <protection locked="0"/>
    </xf>
    <xf numFmtId="0" fontId="30" fillId="0" borderId="0" xfId="0" applyNumberFormat="1" applyFont="1" applyFill="1" applyBorder="1" applyAlignment="1" applyProtection="1">
      <alignment horizontal="left" vertical="center" wrapText="1"/>
    </xf>
    <xf numFmtId="0" fontId="10" fillId="0" borderId="1" xfId="0" quotePrefix="1" applyFont="1" applyBorder="1" applyAlignment="1">
      <alignment horizontal="left" vertical="center"/>
    </xf>
    <xf numFmtId="0" fontId="8" fillId="0" borderId="2" xfId="0" applyNumberFormat="1" applyFont="1" applyFill="1" applyBorder="1" applyAlignment="1" applyProtection="1">
      <alignment vertical="center"/>
    </xf>
    <xf numFmtId="0" fontId="10" fillId="0" borderId="1" xfId="0" quotePrefix="1" applyNumberFormat="1" applyFont="1" applyFill="1" applyBorder="1" applyAlignment="1" applyProtection="1">
      <alignment horizontal="left" vertical="center" wrapText="1"/>
    </xf>
    <xf numFmtId="0" fontId="8" fillId="0" borderId="2" xfId="0" applyNumberFormat="1" applyFont="1" applyFill="1" applyBorder="1" applyAlignment="1" applyProtection="1">
      <alignment vertical="center" wrapText="1"/>
    </xf>
    <xf numFmtId="0" fontId="20" fillId="0" borderId="0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0" fillId="0" borderId="1" xfId="0" applyNumberFormat="1" applyFont="1" applyFill="1" applyBorder="1" applyAlignment="1" applyProtection="1">
      <alignment horizontal="left" vertical="center" wrapText="1"/>
    </xf>
    <xf numFmtId="0" fontId="10" fillId="2" borderId="1" xfId="0" quotePrefix="1" applyNumberFormat="1" applyFont="1" applyFill="1" applyBorder="1" applyAlignment="1" applyProtection="1">
      <alignment horizontal="left" vertical="center" wrapText="1"/>
    </xf>
    <xf numFmtId="0" fontId="8" fillId="2" borderId="2" xfId="0" applyNumberFormat="1" applyFont="1" applyFill="1" applyBorder="1" applyAlignment="1" applyProtection="1">
      <alignment vertical="center" wrapText="1"/>
    </xf>
    <xf numFmtId="0" fontId="7" fillId="0" borderId="0" xfId="0" applyNumberFormat="1" applyFont="1" applyFill="1" applyBorder="1" applyAlignment="1" applyProtection="1">
      <alignment horizontal="center" vertical="center" wrapText="1"/>
    </xf>
    <xf numFmtId="0" fontId="10" fillId="0" borderId="1" xfId="0" quotePrefix="1" applyFont="1" applyFill="1" applyBorder="1" applyAlignment="1">
      <alignment horizontal="left" vertical="center"/>
    </xf>
    <xf numFmtId="0" fontId="10" fillId="3" borderId="1" xfId="0" applyNumberFormat="1" applyFont="1" applyFill="1" applyBorder="1" applyAlignment="1" applyProtection="1">
      <alignment horizontal="left" vertical="center" wrapText="1"/>
    </xf>
    <xf numFmtId="0" fontId="8" fillId="3" borderId="2" xfId="0" applyNumberFormat="1" applyFont="1" applyFill="1" applyBorder="1" applyAlignment="1" applyProtection="1">
      <alignment vertical="center" wrapText="1"/>
    </xf>
    <xf numFmtId="0" fontId="8" fillId="3" borderId="2" xfId="0" applyNumberFormat="1" applyFont="1" applyFill="1" applyBorder="1" applyAlignment="1" applyProtection="1">
      <alignment vertical="center"/>
    </xf>
    <xf numFmtId="0" fontId="10" fillId="4" borderId="1" xfId="0" applyNumberFormat="1" applyFont="1" applyFill="1" applyBorder="1" applyAlignment="1" applyProtection="1">
      <alignment horizontal="left" vertical="center" wrapText="1"/>
    </xf>
    <xf numFmtId="0" fontId="10" fillId="4" borderId="2" xfId="0" applyNumberFormat="1" applyFont="1" applyFill="1" applyBorder="1" applyAlignment="1" applyProtection="1">
      <alignment horizontal="left" vertical="center" wrapText="1"/>
    </xf>
    <xf numFmtId="0" fontId="10" fillId="4" borderId="4" xfId="0" applyNumberFormat="1" applyFont="1" applyFill="1" applyBorder="1" applyAlignment="1" applyProtection="1">
      <alignment horizontal="left" vertical="center" wrapText="1"/>
    </xf>
    <xf numFmtId="0" fontId="13" fillId="0" borderId="0" xfId="0" applyNumberFormat="1" applyFont="1" applyFill="1" applyBorder="1" applyAlignment="1" applyProtection="1">
      <alignment wrapText="1"/>
    </xf>
    <xf numFmtId="0" fontId="14" fillId="0" borderId="0" xfId="0" applyNumberFormat="1" applyFont="1" applyFill="1" applyBorder="1" applyAlignment="1" applyProtection="1">
      <alignment wrapText="1"/>
    </xf>
    <xf numFmtId="0" fontId="10" fillId="3" borderId="1" xfId="0" quotePrefix="1" applyNumberFormat="1" applyFont="1" applyFill="1" applyBorder="1" applyAlignment="1" applyProtection="1">
      <alignment horizontal="left" vertical="center" wrapText="1"/>
    </xf>
    <xf numFmtId="0" fontId="10" fillId="2" borderId="1" xfId="0" applyNumberFormat="1" applyFont="1" applyFill="1" applyBorder="1" applyAlignment="1" applyProtection="1">
      <alignment horizontal="left" vertical="center" wrapText="1"/>
    </xf>
    <xf numFmtId="0" fontId="10" fillId="2" borderId="2" xfId="0" applyNumberFormat="1" applyFont="1" applyFill="1" applyBorder="1" applyAlignment="1" applyProtection="1">
      <alignment horizontal="left" vertical="center" wrapText="1"/>
    </xf>
    <xf numFmtId="0" fontId="10" fillId="2" borderId="4" xfId="0" applyNumberFormat="1" applyFont="1" applyFill="1" applyBorder="1" applyAlignment="1" applyProtection="1">
      <alignment horizontal="left" vertical="center" wrapText="1"/>
    </xf>
    <xf numFmtId="0" fontId="0" fillId="2" borderId="2" xfId="0" applyFill="1" applyBorder="1" applyAlignment="1">
      <alignment horizontal="left" vertical="center" wrapText="1"/>
    </xf>
    <xf numFmtId="0" fontId="0" fillId="2" borderId="4" xfId="0" applyFill="1" applyBorder="1" applyAlignment="1">
      <alignment horizontal="left" vertical="center" wrapText="1"/>
    </xf>
    <xf numFmtId="0" fontId="10" fillId="3" borderId="2" xfId="0" applyNumberFormat="1" applyFont="1" applyFill="1" applyBorder="1" applyAlignment="1" applyProtection="1">
      <alignment horizontal="left" vertical="center" wrapText="1"/>
    </xf>
    <xf numFmtId="0" fontId="10" fillId="3" borderId="4" xfId="0" applyNumberFormat="1" applyFont="1" applyFill="1" applyBorder="1" applyAlignment="1" applyProtection="1">
      <alignment horizontal="left" vertical="center" wrapText="1"/>
    </xf>
    <xf numFmtId="0" fontId="6" fillId="4" borderId="1" xfId="0" applyNumberFormat="1" applyFont="1" applyFill="1" applyBorder="1" applyAlignment="1" applyProtection="1">
      <alignment horizontal="center" vertical="center" wrapText="1"/>
    </xf>
    <xf numFmtId="0" fontId="6" fillId="4" borderId="2" xfId="0" applyNumberFormat="1" applyFont="1" applyFill="1" applyBorder="1" applyAlignment="1" applyProtection="1">
      <alignment horizontal="center" vertical="center" wrapText="1"/>
    </xf>
    <xf numFmtId="0" fontId="6" fillId="4" borderId="4" xfId="0" applyNumberFormat="1" applyFont="1" applyFill="1" applyBorder="1" applyAlignment="1" applyProtection="1">
      <alignment horizontal="center" vertical="center" wrapText="1"/>
    </xf>
    <xf numFmtId="0" fontId="1" fillId="0" borderId="3" xfId="0" applyFont="1" applyBorder="1" applyAlignment="1">
      <alignment horizontal="center"/>
    </xf>
    <xf numFmtId="0" fontId="26" fillId="0" borderId="3" xfId="0" applyFont="1" applyBorder="1" applyAlignment="1">
      <alignment horizontal="left"/>
    </xf>
    <xf numFmtId="0" fontId="6" fillId="4" borderId="3" xfId="0" applyNumberFormat="1" applyFont="1" applyFill="1" applyBorder="1" applyAlignment="1" applyProtection="1">
      <alignment horizontal="left" vertical="center" wrapText="1"/>
    </xf>
    <xf numFmtId="0" fontId="10" fillId="6" borderId="3" xfId="0" applyNumberFormat="1" applyFont="1" applyFill="1" applyBorder="1" applyAlignment="1" applyProtection="1">
      <alignment horizontal="left" vertical="center" wrapText="1"/>
    </xf>
    <xf numFmtId="0" fontId="10" fillId="7" borderId="3" xfId="0" applyNumberFormat="1" applyFont="1" applyFill="1" applyBorder="1" applyAlignment="1" applyProtection="1">
      <alignment horizontal="left" vertical="center" wrapText="1"/>
    </xf>
    <xf numFmtId="0" fontId="9" fillId="2" borderId="3" xfId="0" quotePrefix="1" applyFont="1" applyFill="1" applyBorder="1" applyAlignment="1">
      <alignment horizontal="left" vertical="center" wrapText="1"/>
    </xf>
    <xf numFmtId="0" fontId="9" fillId="2" borderId="3" xfId="0" quotePrefix="1" applyFont="1" applyFill="1" applyBorder="1" applyAlignment="1">
      <alignment horizontal="left" vertical="center"/>
    </xf>
    <xf numFmtId="0" fontId="28" fillId="9" borderId="1" xfId="0" applyFont="1" applyFill="1" applyBorder="1" applyAlignment="1" applyProtection="1">
      <alignment horizontal="center" vertical="center" wrapText="1" readingOrder="1"/>
      <protection locked="0"/>
    </xf>
    <xf numFmtId="0" fontId="28" fillId="9" borderId="2" xfId="0" applyFont="1" applyFill="1" applyBorder="1" applyAlignment="1" applyProtection="1">
      <alignment horizontal="center" vertical="center" wrapText="1" readingOrder="1"/>
      <protection locked="0"/>
    </xf>
    <xf numFmtId="0" fontId="28" fillId="9" borderId="4" xfId="0" applyFont="1" applyFill="1" applyBorder="1" applyAlignment="1" applyProtection="1">
      <alignment horizontal="center" vertical="center" wrapText="1" readingOrder="1"/>
      <protection locked="0"/>
    </xf>
    <xf numFmtId="0" fontId="16" fillId="11" borderId="3" xfId="0" applyFont="1" applyFill="1" applyBorder="1" applyAlignment="1" applyProtection="1">
      <alignment vertical="top" wrapText="1" readingOrder="1"/>
      <protection locked="0"/>
    </xf>
    <xf numFmtId="0" fontId="12" fillId="12" borderId="3" xfId="0" applyFont="1" applyFill="1" applyBorder="1"/>
    <xf numFmtId="0" fontId="16" fillId="13" borderId="3" xfId="0" applyFont="1" applyFill="1" applyBorder="1" applyAlignment="1" applyProtection="1">
      <alignment vertical="top" wrapText="1" readingOrder="1"/>
      <protection locked="0"/>
    </xf>
    <xf numFmtId="0" fontId="12" fillId="3" borderId="3" xfId="0" applyFont="1" applyFill="1" applyBorder="1"/>
    <xf numFmtId="0" fontId="16" fillId="8" borderId="3" xfId="0" applyFont="1" applyFill="1" applyBorder="1" applyAlignment="1" applyProtection="1">
      <alignment vertical="top" wrapText="1" readingOrder="1"/>
      <protection locked="0"/>
    </xf>
    <xf numFmtId="0" fontId="12" fillId="2" borderId="3" xfId="0" applyFont="1" applyFill="1" applyBorder="1"/>
    <xf numFmtId="0" fontId="27" fillId="17" borderId="3" xfId="0" applyFont="1" applyFill="1" applyBorder="1" applyAlignment="1" applyProtection="1">
      <alignment vertical="top" wrapText="1" readingOrder="1"/>
      <protection locked="0"/>
    </xf>
    <xf numFmtId="0" fontId="16" fillId="14" borderId="3" xfId="0" applyFont="1" applyFill="1" applyBorder="1" applyAlignment="1" applyProtection="1">
      <alignment vertical="top" wrapText="1" readingOrder="1"/>
      <protection locked="0"/>
    </xf>
    <xf numFmtId="0" fontId="12" fillId="15" borderId="3" xfId="0" applyFont="1" applyFill="1" applyBorder="1"/>
    <xf numFmtId="0" fontId="16" fillId="16" borderId="3" xfId="0" applyFont="1" applyFill="1" applyBorder="1" applyAlignment="1" applyProtection="1">
      <alignment vertical="top" wrapText="1" readingOrder="1"/>
      <protection locked="0"/>
    </xf>
    <xf numFmtId="0" fontId="12" fillId="6" borderId="3" xfId="0" applyFont="1" applyFill="1" applyBorder="1"/>
    <xf numFmtId="0" fontId="29" fillId="10" borderId="7" xfId="0" applyFont="1" applyFill="1" applyBorder="1" applyAlignment="1" applyProtection="1">
      <alignment horizontal="center" vertical="center" wrapText="1"/>
      <protection locked="0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3"/>
  <sheetViews>
    <sheetView tabSelected="1" topLeftCell="A7" workbookViewId="0">
      <selection activeCell="K16" sqref="K16"/>
    </sheetView>
  </sheetViews>
  <sheetFormatPr defaultRowHeight="15" x14ac:dyDescent="0.25"/>
  <cols>
    <col min="5" max="5" width="17.28515625" customWidth="1"/>
    <col min="6" max="6" width="17.28515625" hidden="1" customWidth="1"/>
    <col min="7" max="7" width="19" style="30" hidden="1" customWidth="1"/>
    <col min="8" max="8" width="21.42578125" style="30" customWidth="1"/>
    <col min="9" max="9" width="20.28515625" style="123" customWidth="1"/>
    <col min="10" max="10" width="16.7109375" customWidth="1"/>
    <col min="11" max="11" width="21.140625" customWidth="1"/>
    <col min="12" max="12" width="13.28515625" customWidth="1"/>
  </cols>
  <sheetData>
    <row r="1" spans="1:11" ht="18" customHeight="1" x14ac:dyDescent="0.25">
      <c r="A1" s="237" t="s">
        <v>115</v>
      </c>
      <c r="B1" s="237"/>
      <c r="C1" s="237"/>
      <c r="D1" s="237"/>
      <c r="E1" s="237"/>
      <c r="F1" s="237"/>
      <c r="G1" s="237"/>
      <c r="H1" s="237"/>
      <c r="I1" s="237"/>
      <c r="J1" s="237"/>
      <c r="K1" s="237"/>
    </row>
    <row r="2" spans="1:11" ht="18" customHeight="1" x14ac:dyDescent="0.25">
      <c r="A2" s="238" t="s">
        <v>109</v>
      </c>
      <c r="B2" s="238"/>
      <c r="C2" s="238"/>
      <c r="D2" s="238"/>
      <c r="E2" s="238"/>
      <c r="F2" s="238"/>
      <c r="G2" s="238"/>
      <c r="H2" s="238"/>
      <c r="I2" s="238"/>
      <c r="J2" s="238"/>
      <c r="K2" s="238"/>
    </row>
    <row r="3" spans="1:11" ht="18" x14ac:dyDescent="0.25">
      <c r="A3" s="95"/>
      <c r="B3" s="95"/>
      <c r="C3" s="95"/>
      <c r="D3" s="95"/>
      <c r="E3" s="95"/>
      <c r="F3" s="95"/>
      <c r="G3" s="95"/>
      <c r="H3" s="95"/>
      <c r="I3" s="111"/>
    </row>
    <row r="4" spans="1:11" ht="15.75" customHeight="1" x14ac:dyDescent="0.25">
      <c r="A4" s="239" t="s">
        <v>20</v>
      </c>
      <c r="B4" s="239"/>
      <c r="C4" s="239"/>
      <c r="D4" s="239"/>
      <c r="E4" s="239"/>
      <c r="F4" s="239"/>
      <c r="G4" s="239"/>
      <c r="H4" s="239"/>
      <c r="I4" s="239"/>
      <c r="J4" s="239"/>
      <c r="K4" s="239"/>
    </row>
    <row r="5" spans="1:11" ht="18" customHeight="1" x14ac:dyDescent="0.25">
      <c r="A5" s="232" t="s">
        <v>199</v>
      </c>
      <c r="B5" s="232"/>
      <c r="C5" s="232"/>
      <c r="D5" s="232"/>
      <c r="E5" s="232"/>
      <c r="F5" s="17"/>
      <c r="G5" s="17"/>
      <c r="H5" s="17"/>
      <c r="I5" s="117"/>
    </row>
    <row r="6" spans="1:11" ht="16.5" customHeight="1" x14ac:dyDescent="0.25">
      <c r="A6" s="232" t="s">
        <v>200</v>
      </c>
      <c r="B6" s="232"/>
      <c r="C6" s="232"/>
      <c r="D6" s="232"/>
      <c r="E6" s="232"/>
      <c r="F6" s="17"/>
      <c r="G6" s="17"/>
      <c r="I6" s="117"/>
    </row>
    <row r="7" spans="1:11" ht="15.75" customHeight="1" x14ac:dyDescent="0.25">
      <c r="A7" s="239" t="s">
        <v>27</v>
      </c>
      <c r="B7" s="239"/>
      <c r="C7" s="239"/>
      <c r="D7" s="239"/>
      <c r="E7" s="239"/>
      <c r="F7" s="239"/>
      <c r="G7" s="239"/>
      <c r="H7" s="239"/>
      <c r="I7" s="239"/>
      <c r="J7" s="239"/>
      <c r="K7" s="239"/>
    </row>
    <row r="8" spans="1:11" ht="18" x14ac:dyDescent="0.25">
      <c r="A8" s="1"/>
      <c r="B8" s="2"/>
      <c r="C8" s="2"/>
      <c r="D8" s="2"/>
      <c r="E8" s="5"/>
      <c r="F8" s="75"/>
      <c r="G8" s="75"/>
      <c r="H8" s="75"/>
      <c r="I8" s="118"/>
    </row>
    <row r="9" spans="1:11" ht="35.25" customHeight="1" x14ac:dyDescent="0.25">
      <c r="A9" s="21"/>
      <c r="B9" s="22"/>
      <c r="C9" s="22"/>
      <c r="D9" s="23"/>
      <c r="E9" s="24"/>
      <c r="F9" s="14" t="s">
        <v>90</v>
      </c>
      <c r="G9" s="14" t="s">
        <v>91</v>
      </c>
      <c r="H9" s="14" t="s">
        <v>117</v>
      </c>
      <c r="I9" s="116" t="s">
        <v>105</v>
      </c>
      <c r="J9" s="14" t="s">
        <v>107</v>
      </c>
      <c r="K9" s="14" t="s">
        <v>118</v>
      </c>
    </row>
    <row r="10" spans="1:11" x14ac:dyDescent="0.25">
      <c r="A10" s="245" t="s">
        <v>0</v>
      </c>
      <c r="B10" s="246"/>
      <c r="C10" s="246"/>
      <c r="D10" s="246"/>
      <c r="E10" s="247"/>
      <c r="F10" s="98">
        <f>F11+F12</f>
        <v>848917.07</v>
      </c>
      <c r="G10" s="98">
        <f t="shared" ref="G10:I10" si="0">G11+G12</f>
        <v>1031252.02</v>
      </c>
      <c r="H10" s="166">
        <f>H11</f>
        <v>1272994.05</v>
      </c>
      <c r="I10" s="119">
        <f t="shared" si="0"/>
        <v>62355.949999999953</v>
      </c>
      <c r="J10" s="166">
        <f>I10/H10*100</f>
        <v>4.8983693207364132</v>
      </c>
      <c r="K10" s="166">
        <f>K11</f>
        <v>1335350</v>
      </c>
    </row>
    <row r="11" spans="1:11" x14ac:dyDescent="0.25">
      <c r="A11" s="240" t="s">
        <v>75</v>
      </c>
      <c r="B11" s="236"/>
      <c r="C11" s="236"/>
      <c r="D11" s="236"/>
      <c r="E11" s="234"/>
      <c r="F11" s="99">
        <v>848917.07</v>
      </c>
      <c r="G11" s="99">
        <v>1031252.02</v>
      </c>
      <c r="H11" s="34">
        <v>1272994.05</v>
      </c>
      <c r="I11" s="120">
        <f>K11-H11</f>
        <v>62355.949999999953</v>
      </c>
      <c r="J11" s="167">
        <f>I11/H11*100</f>
        <v>4.8983693207364132</v>
      </c>
      <c r="K11" s="34">
        <v>1335350</v>
      </c>
    </row>
    <row r="12" spans="1:11" x14ac:dyDescent="0.25">
      <c r="A12" s="244" t="s">
        <v>76</v>
      </c>
      <c r="B12" s="234"/>
      <c r="C12" s="234"/>
      <c r="D12" s="234"/>
      <c r="E12" s="234"/>
      <c r="F12" s="99">
        <v>0</v>
      </c>
      <c r="G12" s="99">
        <v>0</v>
      </c>
      <c r="H12" s="34">
        <v>0</v>
      </c>
      <c r="I12" s="120">
        <v>0</v>
      </c>
      <c r="J12" s="167">
        <v>0</v>
      </c>
      <c r="K12" s="34">
        <v>0</v>
      </c>
    </row>
    <row r="13" spans="1:11" x14ac:dyDescent="0.25">
      <c r="A13" s="241" t="s">
        <v>116</v>
      </c>
      <c r="B13" s="242"/>
      <c r="C13" s="242"/>
      <c r="D13" s="242"/>
      <c r="E13" s="242"/>
      <c r="F13" s="99"/>
      <c r="G13" s="99"/>
      <c r="H13" s="34">
        <v>6046.44</v>
      </c>
      <c r="I13" s="120">
        <v>0</v>
      </c>
      <c r="J13" s="167">
        <v>0</v>
      </c>
      <c r="K13" s="34">
        <v>6046.44</v>
      </c>
    </row>
    <row r="14" spans="1:11" x14ac:dyDescent="0.25">
      <c r="A14" s="25" t="s">
        <v>1</v>
      </c>
      <c r="B14" s="53"/>
      <c r="C14" s="53"/>
      <c r="D14" s="53"/>
      <c r="E14" s="53"/>
      <c r="F14" s="98">
        <f>F15+F16</f>
        <v>847028.32</v>
      </c>
      <c r="G14" s="98">
        <f t="shared" ref="G14" si="1">G15+G16</f>
        <v>1024226.97</v>
      </c>
      <c r="H14" s="166">
        <f>H15+H16</f>
        <v>1266947.6100000001</v>
      </c>
      <c r="I14" s="119">
        <f>I15+I16</f>
        <v>68402.389999999854</v>
      </c>
      <c r="J14" s="166">
        <f t="shared" ref="J14:J17" si="2">I14/H14*100</f>
        <v>5.3989912021697446</v>
      </c>
      <c r="K14" s="166">
        <f>K15+K16</f>
        <v>1335350</v>
      </c>
    </row>
    <row r="15" spans="1:11" x14ac:dyDescent="0.25">
      <c r="A15" s="235" t="s">
        <v>77</v>
      </c>
      <c r="B15" s="236"/>
      <c r="C15" s="236"/>
      <c r="D15" s="236"/>
      <c r="E15" s="236"/>
      <c r="F15" s="99">
        <f>847028.32-F16</f>
        <v>836351.77999999991</v>
      </c>
      <c r="G15" s="99">
        <v>1017626.97</v>
      </c>
      <c r="H15" s="34">
        <f>1266947.61-H16</f>
        <v>1137887.1600000001</v>
      </c>
      <c r="I15" s="120">
        <f>K15-H15</f>
        <v>24657.839999999851</v>
      </c>
      <c r="J15" s="167">
        <f t="shared" si="2"/>
        <v>2.166984641956927</v>
      </c>
      <c r="K15" s="34">
        <f>1160055.21+2489.79</f>
        <v>1162545</v>
      </c>
    </row>
    <row r="16" spans="1:11" x14ac:dyDescent="0.25">
      <c r="A16" s="233" t="s">
        <v>78</v>
      </c>
      <c r="B16" s="234"/>
      <c r="C16" s="234"/>
      <c r="D16" s="234"/>
      <c r="E16" s="234"/>
      <c r="F16" s="100">
        <v>10676.54</v>
      </c>
      <c r="G16" s="100">
        <v>6600</v>
      </c>
      <c r="H16" s="34">
        <v>129060.45</v>
      </c>
      <c r="I16" s="121">
        <f>K16-H16</f>
        <v>43744.55</v>
      </c>
      <c r="J16" s="167">
        <f t="shared" si="2"/>
        <v>33.89462069906002</v>
      </c>
      <c r="K16" s="34">
        <v>172805</v>
      </c>
    </row>
    <row r="17" spans="1:12" x14ac:dyDescent="0.25">
      <c r="A17" s="241" t="s">
        <v>116</v>
      </c>
      <c r="B17" s="242"/>
      <c r="C17" s="242"/>
      <c r="D17" s="242"/>
      <c r="E17" s="242"/>
      <c r="F17" s="45">
        <f>F10-F14</f>
        <v>1888.75</v>
      </c>
      <c r="G17" s="45">
        <f>G10-G14</f>
        <v>7025.0500000000466</v>
      </c>
      <c r="H17" s="167">
        <f>H10-H14</f>
        <v>6046.4399999999441</v>
      </c>
      <c r="I17" s="115">
        <f>K17-H17</f>
        <v>5.5479176808148623E-11</v>
      </c>
      <c r="J17" s="167">
        <f t="shared" si="2"/>
        <v>9.1755110127858928E-13</v>
      </c>
      <c r="K17" s="167">
        <v>6046.44</v>
      </c>
    </row>
    <row r="18" spans="1:12" ht="18" x14ac:dyDescent="0.25">
      <c r="A18" s="17"/>
      <c r="B18" s="16"/>
      <c r="C18" s="16"/>
      <c r="D18" s="16"/>
      <c r="E18" s="16"/>
      <c r="F18" s="16"/>
      <c r="G18" s="16"/>
      <c r="H18" s="76"/>
      <c r="I18" s="81"/>
    </row>
    <row r="19" spans="1:12" ht="15.75" customHeight="1" x14ac:dyDescent="0.25">
      <c r="A19" s="239" t="s">
        <v>28</v>
      </c>
      <c r="B19" s="239"/>
      <c r="C19" s="239"/>
      <c r="D19" s="239"/>
      <c r="E19" s="239"/>
      <c r="F19" s="239"/>
      <c r="G19" s="239"/>
      <c r="H19" s="239"/>
      <c r="I19" s="239"/>
      <c r="J19" s="239"/>
      <c r="K19" s="239"/>
    </row>
    <row r="20" spans="1:12" ht="18" x14ac:dyDescent="0.25">
      <c r="A20" s="17"/>
      <c r="B20" s="16"/>
      <c r="C20" s="16"/>
      <c r="D20" s="16"/>
      <c r="E20" s="16"/>
      <c r="F20" s="16"/>
      <c r="G20" s="16"/>
      <c r="H20" s="76"/>
      <c r="I20" s="81"/>
      <c r="L20" s="97"/>
    </row>
    <row r="21" spans="1:12" ht="30.75" customHeight="1" x14ac:dyDescent="0.25">
      <c r="A21" s="21"/>
      <c r="B21" s="22"/>
      <c r="C21" s="22"/>
      <c r="D21" s="23"/>
      <c r="E21" s="24"/>
      <c r="F21" s="14" t="s">
        <v>90</v>
      </c>
      <c r="G21" s="14" t="s">
        <v>91</v>
      </c>
      <c r="H21" s="14" t="s">
        <v>117</v>
      </c>
      <c r="I21" s="116" t="s">
        <v>105</v>
      </c>
      <c r="J21" s="14" t="s">
        <v>107</v>
      </c>
      <c r="K21" s="14" t="s">
        <v>118</v>
      </c>
    </row>
    <row r="22" spans="1:12" x14ac:dyDescent="0.25">
      <c r="A22" s="233" t="s">
        <v>79</v>
      </c>
      <c r="B22" s="234"/>
      <c r="C22" s="234"/>
      <c r="D22" s="234"/>
      <c r="E22" s="234"/>
      <c r="F22" s="100">
        <v>0</v>
      </c>
      <c r="G22" s="100">
        <v>0</v>
      </c>
      <c r="H22" s="100">
        <v>0</v>
      </c>
      <c r="I22" s="121">
        <v>0</v>
      </c>
      <c r="J22" s="26">
        <v>0</v>
      </c>
      <c r="K22" s="26">
        <v>0</v>
      </c>
    </row>
    <row r="23" spans="1:12" x14ac:dyDescent="0.25">
      <c r="A23" s="233" t="s">
        <v>80</v>
      </c>
      <c r="B23" s="234"/>
      <c r="C23" s="234"/>
      <c r="D23" s="234"/>
      <c r="E23" s="234"/>
      <c r="F23" s="100">
        <v>0</v>
      </c>
      <c r="G23" s="100">
        <v>0</v>
      </c>
      <c r="H23" s="100">
        <v>0</v>
      </c>
      <c r="I23" s="121">
        <v>0</v>
      </c>
      <c r="J23" s="26">
        <v>0</v>
      </c>
      <c r="K23" s="26">
        <v>0</v>
      </c>
    </row>
    <row r="24" spans="1:12" x14ac:dyDescent="0.25">
      <c r="A24" s="253" t="s">
        <v>3</v>
      </c>
      <c r="B24" s="246"/>
      <c r="C24" s="246"/>
      <c r="D24" s="246"/>
      <c r="E24" s="246"/>
      <c r="F24" s="98">
        <f>F22-F23</f>
        <v>0</v>
      </c>
      <c r="G24" s="98">
        <f t="shared" ref="G24:I24" si="3">G22-G23</f>
        <v>0</v>
      </c>
      <c r="H24" s="98">
        <f t="shared" si="3"/>
        <v>0</v>
      </c>
      <c r="I24" s="119">
        <f t="shared" si="3"/>
        <v>0</v>
      </c>
      <c r="J24" s="135">
        <v>0</v>
      </c>
      <c r="K24" s="135">
        <v>0</v>
      </c>
    </row>
    <row r="25" spans="1:12" x14ac:dyDescent="0.25">
      <c r="A25" s="253" t="s">
        <v>4</v>
      </c>
      <c r="B25" s="246"/>
      <c r="C25" s="246"/>
      <c r="D25" s="246"/>
      <c r="E25" s="246"/>
      <c r="F25" s="98">
        <f>F17+F24</f>
        <v>1888.75</v>
      </c>
      <c r="G25" s="98">
        <f>G17+G24</f>
        <v>7025.0500000000466</v>
      </c>
      <c r="H25" s="98">
        <v>0</v>
      </c>
      <c r="I25" s="119">
        <v>0</v>
      </c>
      <c r="J25" s="135">
        <v>0</v>
      </c>
      <c r="K25" s="135">
        <v>0</v>
      </c>
    </row>
    <row r="26" spans="1:12" ht="18" x14ac:dyDescent="0.25">
      <c r="A26" s="15"/>
      <c r="B26" s="16"/>
      <c r="C26" s="16"/>
      <c r="D26" s="16"/>
      <c r="E26" s="16"/>
      <c r="F26" s="16"/>
      <c r="G26" s="16"/>
      <c r="H26" s="76"/>
      <c r="I26" s="81"/>
    </row>
    <row r="27" spans="1:12" ht="15.75" customHeight="1" x14ac:dyDescent="0.25">
      <c r="A27" s="239" t="s">
        <v>81</v>
      </c>
      <c r="B27" s="239"/>
      <c r="C27" s="239"/>
      <c r="D27" s="239"/>
      <c r="E27" s="239"/>
      <c r="F27" s="239"/>
      <c r="G27" s="239"/>
      <c r="H27" s="239"/>
      <c r="I27" s="239"/>
      <c r="J27" s="239"/>
      <c r="K27" s="239"/>
    </row>
    <row r="28" spans="1:12" ht="15.75" x14ac:dyDescent="0.25">
      <c r="A28" s="51"/>
      <c r="B28" s="52"/>
      <c r="C28" s="52"/>
      <c r="D28" s="52"/>
      <c r="E28" s="52"/>
      <c r="F28" s="52"/>
      <c r="G28" s="52"/>
      <c r="H28" s="52"/>
      <c r="I28" s="78"/>
    </row>
    <row r="29" spans="1:12" ht="33" customHeight="1" x14ac:dyDescent="0.25">
      <c r="A29" s="21"/>
      <c r="B29" s="22"/>
      <c r="C29" s="22"/>
      <c r="D29" s="23"/>
      <c r="E29" s="24"/>
      <c r="F29" s="14" t="s">
        <v>90</v>
      </c>
      <c r="G29" s="14" t="s">
        <v>91</v>
      </c>
      <c r="H29" s="14" t="s">
        <v>117</v>
      </c>
      <c r="I29" s="116" t="s">
        <v>105</v>
      </c>
      <c r="J29" s="14" t="s">
        <v>107</v>
      </c>
      <c r="K29" s="14" t="s">
        <v>118</v>
      </c>
    </row>
    <row r="30" spans="1:12" x14ac:dyDescent="0.25">
      <c r="A30" s="248" t="s">
        <v>110</v>
      </c>
      <c r="B30" s="249"/>
      <c r="C30" s="249"/>
      <c r="D30" s="249"/>
      <c r="E30" s="250"/>
      <c r="F30" s="101">
        <v>15812.84</v>
      </c>
      <c r="G30" s="101">
        <v>7025.05</v>
      </c>
      <c r="H30" s="101">
        <v>6046.44</v>
      </c>
      <c r="I30" s="101">
        <v>0</v>
      </c>
      <c r="J30" s="101">
        <v>0</v>
      </c>
      <c r="K30" s="168">
        <v>6046.44</v>
      </c>
    </row>
    <row r="31" spans="1:12" ht="21.75" customHeight="1" x14ac:dyDescent="0.25">
      <c r="A31" s="241" t="s">
        <v>83</v>
      </c>
      <c r="B31" s="242"/>
      <c r="C31" s="242"/>
      <c r="D31" s="242"/>
      <c r="E31" s="242"/>
      <c r="F31" s="102">
        <v>7025.05</v>
      </c>
      <c r="G31" s="102">
        <v>4700</v>
      </c>
      <c r="H31" s="102">
        <v>0</v>
      </c>
      <c r="I31" s="102">
        <v>0</v>
      </c>
      <c r="J31" s="102">
        <v>0</v>
      </c>
      <c r="K31" s="169">
        <v>0</v>
      </c>
    </row>
    <row r="32" spans="1:12" ht="26.25" customHeight="1" x14ac:dyDescent="0.25">
      <c r="A32" s="245" t="s">
        <v>84</v>
      </c>
      <c r="B32" s="259"/>
      <c r="C32" s="259"/>
      <c r="D32" s="259"/>
      <c r="E32" s="260"/>
      <c r="F32" s="103">
        <f>F17+F24+F30-F31</f>
        <v>10676.54</v>
      </c>
      <c r="G32" s="103">
        <f t="shared" ref="G32" si="4">G17+G24+G30-G31</f>
        <v>9350.1000000000458</v>
      </c>
      <c r="H32" s="103">
        <v>0</v>
      </c>
      <c r="I32" s="103">
        <v>0</v>
      </c>
      <c r="J32" s="103">
        <v>0</v>
      </c>
      <c r="K32" s="170">
        <v>0</v>
      </c>
    </row>
    <row r="33" spans="1:11" ht="15.75" x14ac:dyDescent="0.25">
      <c r="A33" s="77"/>
      <c r="B33" s="78"/>
      <c r="C33" s="78"/>
      <c r="D33" s="78"/>
      <c r="E33" s="78"/>
      <c r="F33" s="78"/>
      <c r="G33" s="78"/>
      <c r="H33" s="78"/>
      <c r="I33" s="78"/>
    </row>
    <row r="34" spans="1:11" ht="15.75" hidden="1" x14ac:dyDescent="0.25">
      <c r="A34" s="243" t="s">
        <v>85</v>
      </c>
      <c r="B34" s="243"/>
      <c r="C34" s="243"/>
      <c r="D34" s="243"/>
      <c r="E34" s="243"/>
      <c r="F34" s="243"/>
      <c r="G34" s="243"/>
      <c r="H34" s="243"/>
      <c r="I34" s="243"/>
    </row>
    <row r="35" spans="1:11" ht="18" hidden="1" x14ac:dyDescent="0.25">
      <c r="A35" s="79"/>
      <c r="B35" s="80"/>
      <c r="C35" s="80"/>
      <c r="D35" s="80"/>
      <c r="E35" s="80"/>
      <c r="F35" s="80"/>
      <c r="G35" s="80"/>
      <c r="H35" s="81"/>
      <c r="I35" s="81"/>
    </row>
    <row r="36" spans="1:11" ht="38.25" hidden="1" customHeight="1" x14ac:dyDescent="0.25">
      <c r="A36" s="82"/>
      <c r="B36" s="83"/>
      <c r="C36" s="83"/>
      <c r="D36" s="84"/>
      <c r="E36" s="85"/>
      <c r="F36" s="14" t="s">
        <v>90</v>
      </c>
      <c r="G36" s="14" t="s">
        <v>91</v>
      </c>
      <c r="H36" s="14" t="s">
        <v>106</v>
      </c>
      <c r="I36" s="116" t="s">
        <v>105</v>
      </c>
      <c r="J36" s="14" t="s">
        <v>107</v>
      </c>
      <c r="K36" s="14" t="s">
        <v>108</v>
      </c>
    </row>
    <row r="37" spans="1:11" hidden="1" x14ac:dyDescent="0.25">
      <c r="A37" s="248" t="s">
        <v>82</v>
      </c>
      <c r="B37" s="249"/>
      <c r="C37" s="249"/>
      <c r="D37" s="249"/>
      <c r="E37" s="250"/>
      <c r="F37" s="101">
        <v>15812.84</v>
      </c>
      <c r="G37" s="101">
        <v>7025.05</v>
      </c>
      <c r="H37" s="101">
        <v>7025.05</v>
      </c>
      <c r="I37" s="101">
        <v>0</v>
      </c>
      <c r="J37" s="26"/>
      <c r="K37" s="26"/>
    </row>
    <row r="38" spans="1:11" ht="27" hidden="1" customHeight="1" x14ac:dyDescent="0.25">
      <c r="A38" s="254" t="s">
        <v>2</v>
      </c>
      <c r="B38" s="255"/>
      <c r="C38" s="255"/>
      <c r="D38" s="255"/>
      <c r="E38" s="256"/>
      <c r="F38" s="102">
        <v>10676.54</v>
      </c>
      <c r="G38" s="102">
        <v>9350.1</v>
      </c>
      <c r="H38" s="102">
        <v>7025.05</v>
      </c>
      <c r="I38" s="102">
        <v>0</v>
      </c>
      <c r="J38" s="26"/>
      <c r="K38" s="26"/>
    </row>
    <row r="39" spans="1:11" hidden="1" x14ac:dyDescent="0.25">
      <c r="A39" s="254" t="s">
        <v>86</v>
      </c>
      <c r="B39" s="257"/>
      <c r="C39" s="257"/>
      <c r="D39" s="257"/>
      <c r="E39" s="258"/>
      <c r="F39" s="102">
        <v>1888.75</v>
      </c>
      <c r="G39" s="102">
        <v>7025.05</v>
      </c>
      <c r="H39" s="102">
        <v>0</v>
      </c>
      <c r="I39" s="102">
        <v>0</v>
      </c>
      <c r="J39" s="26"/>
      <c r="K39" s="26"/>
    </row>
    <row r="40" spans="1:11" hidden="1" x14ac:dyDescent="0.25">
      <c r="A40" s="253" t="s">
        <v>83</v>
      </c>
      <c r="B40" s="246"/>
      <c r="C40" s="246"/>
      <c r="D40" s="246"/>
      <c r="E40" s="246"/>
      <c r="F40" s="104">
        <f>F37-F38+F39</f>
        <v>7025.0499999999993</v>
      </c>
      <c r="G40" s="104">
        <f t="shared" ref="G40:I40" si="5">G37-G38+G39</f>
        <v>4700</v>
      </c>
      <c r="H40" s="104">
        <f>H37-H38+H39</f>
        <v>0</v>
      </c>
      <c r="I40" s="103">
        <f t="shared" si="5"/>
        <v>0</v>
      </c>
      <c r="J40" s="26"/>
      <c r="K40" s="26"/>
    </row>
    <row r="41" spans="1:11" x14ac:dyDescent="0.25">
      <c r="G41"/>
      <c r="H41"/>
      <c r="I41" s="122"/>
    </row>
    <row r="42" spans="1:11" x14ac:dyDescent="0.25">
      <c r="A42" s="251"/>
      <c r="B42" s="252"/>
      <c r="C42" s="252"/>
      <c r="D42" s="252"/>
      <c r="E42" s="252"/>
      <c r="F42" s="252"/>
      <c r="G42" s="252"/>
      <c r="H42" s="252"/>
      <c r="I42" s="252"/>
    </row>
    <row r="43" spans="1:11" x14ac:dyDescent="0.25">
      <c r="G43"/>
      <c r="H43"/>
      <c r="I43" s="122"/>
    </row>
  </sheetData>
  <mergeCells count="28">
    <mergeCell ref="A37:E37"/>
    <mergeCell ref="A22:E22"/>
    <mergeCell ref="A42:I42"/>
    <mergeCell ref="A25:E25"/>
    <mergeCell ref="A40:E40"/>
    <mergeCell ref="A30:E30"/>
    <mergeCell ref="A38:E38"/>
    <mergeCell ref="A39:E39"/>
    <mergeCell ref="A31:E31"/>
    <mergeCell ref="A32:E32"/>
    <mergeCell ref="A27:K27"/>
    <mergeCell ref="A23:E23"/>
    <mergeCell ref="A24:E24"/>
    <mergeCell ref="A17:E17"/>
    <mergeCell ref="A19:K19"/>
    <mergeCell ref="A34:I34"/>
    <mergeCell ref="A12:E12"/>
    <mergeCell ref="A10:E10"/>
    <mergeCell ref="A13:E13"/>
    <mergeCell ref="A5:E5"/>
    <mergeCell ref="A6:E6"/>
    <mergeCell ref="A16:E16"/>
    <mergeCell ref="A15:E15"/>
    <mergeCell ref="A1:K1"/>
    <mergeCell ref="A2:K2"/>
    <mergeCell ref="A4:K4"/>
    <mergeCell ref="A7:K7"/>
    <mergeCell ref="A11:E11"/>
  </mergeCells>
  <pageMargins left="1.2204724409448819" right="0.23622047244094491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94"/>
  <sheetViews>
    <sheetView zoomScale="115" zoomScaleNormal="115" workbookViewId="0">
      <selection activeCell="G10" sqref="G9:G10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6" customWidth="1"/>
    <col min="4" max="4" width="34.28515625" customWidth="1"/>
    <col min="5" max="5" width="21.140625" hidden="1" customWidth="1"/>
    <col min="6" max="6" width="20.140625" style="30" hidden="1" customWidth="1"/>
    <col min="7" max="7" width="22.42578125" style="30" customWidth="1"/>
    <col min="8" max="8" width="22.140625" style="123" customWidth="1"/>
    <col min="9" max="9" width="14" customWidth="1"/>
    <col min="10" max="10" width="18.140625" customWidth="1"/>
  </cols>
  <sheetData>
    <row r="1" spans="1:11" ht="36.75" customHeight="1" x14ac:dyDescent="0.25">
      <c r="A1" s="237" t="s">
        <v>115</v>
      </c>
      <c r="B1" s="237"/>
      <c r="C1" s="237"/>
      <c r="D1" s="237"/>
      <c r="E1" s="237"/>
      <c r="F1" s="237"/>
      <c r="G1" s="237"/>
      <c r="H1" s="237"/>
      <c r="I1" s="237"/>
      <c r="J1" s="237"/>
      <c r="K1" s="237"/>
    </row>
    <row r="2" spans="1:11" ht="18" customHeight="1" x14ac:dyDescent="0.25">
      <c r="A2" s="238" t="s">
        <v>109</v>
      </c>
      <c r="B2" s="238"/>
      <c r="C2" s="238"/>
      <c r="D2" s="238"/>
      <c r="E2" s="238"/>
      <c r="F2" s="238"/>
      <c r="G2" s="238"/>
      <c r="H2" s="238"/>
      <c r="I2" s="238"/>
      <c r="J2" s="238"/>
      <c r="K2" s="238"/>
    </row>
    <row r="3" spans="1:11" ht="18" customHeight="1" x14ac:dyDescent="0.25">
      <c r="A3" s="95"/>
      <c r="B3" s="95"/>
      <c r="C3" s="95"/>
      <c r="D3" s="95"/>
      <c r="E3" s="95"/>
      <c r="F3" s="95"/>
      <c r="G3" s="95"/>
      <c r="H3" s="111"/>
    </row>
    <row r="4" spans="1:11" ht="15" customHeight="1" x14ac:dyDescent="0.25">
      <c r="A4" s="239" t="s">
        <v>20</v>
      </c>
      <c r="B4" s="239"/>
      <c r="C4" s="239"/>
      <c r="D4" s="239"/>
      <c r="E4" s="239"/>
      <c r="F4" s="239"/>
      <c r="G4" s="239"/>
      <c r="H4" s="239"/>
      <c r="I4" s="239"/>
      <c r="J4" s="239"/>
    </row>
    <row r="5" spans="1:11" ht="18" x14ac:dyDescent="0.25">
      <c r="A5" s="3"/>
      <c r="B5" s="3"/>
      <c r="C5" s="3"/>
      <c r="D5" s="3"/>
      <c r="E5" s="17"/>
      <c r="F5" s="29"/>
      <c r="G5" s="29"/>
      <c r="H5" s="124"/>
    </row>
    <row r="6" spans="1:11" ht="18" customHeight="1" x14ac:dyDescent="0.25">
      <c r="A6" s="239" t="s">
        <v>6</v>
      </c>
      <c r="B6" s="239"/>
      <c r="C6" s="239"/>
      <c r="D6" s="239"/>
      <c r="E6" s="239"/>
      <c r="F6" s="239"/>
      <c r="G6" s="239"/>
      <c r="H6" s="239"/>
      <c r="I6" s="239"/>
      <c r="J6" s="239"/>
    </row>
    <row r="7" spans="1:11" ht="18" x14ac:dyDescent="0.25">
      <c r="A7" s="3"/>
      <c r="B7" s="3"/>
      <c r="C7" s="3"/>
      <c r="D7" s="3"/>
      <c r="E7" s="17"/>
      <c r="F7" s="29"/>
      <c r="G7" s="29"/>
      <c r="H7" s="124"/>
    </row>
    <row r="8" spans="1:11" ht="15.75" customHeight="1" x14ac:dyDescent="0.25">
      <c r="A8" s="239" t="s">
        <v>92</v>
      </c>
      <c r="B8" s="239"/>
      <c r="C8" s="239"/>
      <c r="D8" s="239"/>
      <c r="E8" s="239"/>
      <c r="F8" s="239"/>
      <c r="G8" s="239"/>
      <c r="H8" s="239"/>
      <c r="I8" s="239"/>
      <c r="J8" s="239"/>
    </row>
    <row r="9" spans="1:11" ht="18" x14ac:dyDescent="0.25">
      <c r="A9" s="3"/>
      <c r="B9" s="3"/>
      <c r="C9" s="3"/>
      <c r="D9" s="3"/>
      <c r="E9" s="17"/>
      <c r="F9" s="29"/>
      <c r="G9" s="29"/>
      <c r="H9" s="124"/>
    </row>
    <row r="10" spans="1:11" ht="37.5" customHeight="1" x14ac:dyDescent="0.25">
      <c r="A10" s="14" t="s">
        <v>7</v>
      </c>
      <c r="B10" s="13" t="s">
        <v>8</v>
      </c>
      <c r="C10" s="13" t="s">
        <v>9</v>
      </c>
      <c r="D10" s="13" t="s">
        <v>5</v>
      </c>
      <c r="E10" s="14" t="s">
        <v>90</v>
      </c>
      <c r="F10" s="14" t="s">
        <v>91</v>
      </c>
      <c r="G10" s="14" t="s">
        <v>117</v>
      </c>
      <c r="H10" s="116" t="s">
        <v>105</v>
      </c>
      <c r="I10" s="14" t="s">
        <v>107</v>
      </c>
      <c r="J10" s="14" t="s">
        <v>118</v>
      </c>
    </row>
    <row r="11" spans="1:11" x14ac:dyDescent="0.25">
      <c r="A11" s="14"/>
      <c r="B11" s="261" t="s">
        <v>50</v>
      </c>
      <c r="C11" s="262"/>
      <c r="D11" s="263"/>
      <c r="E11" s="74">
        <f>E12</f>
        <v>848917.07000000007</v>
      </c>
      <c r="F11" s="31">
        <f>F12+F25</f>
        <v>1017201.92</v>
      </c>
      <c r="G11" s="31">
        <f>G12</f>
        <v>1263826.94</v>
      </c>
      <c r="H11" s="125">
        <f>H12+H25</f>
        <v>63203.860000000044</v>
      </c>
      <c r="I11" s="139">
        <f>H11/G11</f>
        <v>5.0009900880891217E-2</v>
      </c>
      <c r="J11" s="140">
        <f>J12</f>
        <v>1326948.8</v>
      </c>
    </row>
    <row r="12" spans="1:11" ht="15.75" customHeight="1" x14ac:dyDescent="0.25">
      <c r="A12" s="6">
        <v>6</v>
      </c>
      <c r="B12" s="39">
        <v>6</v>
      </c>
      <c r="C12" s="39"/>
      <c r="D12" s="39" t="s">
        <v>10</v>
      </c>
      <c r="E12" s="56">
        <f>E13+E17+E20+E23</f>
        <v>848917.07000000007</v>
      </c>
      <c r="F12" s="37">
        <v>1017201.92</v>
      </c>
      <c r="G12" s="37">
        <f>G13+G17+G20+G23</f>
        <v>1263826.94</v>
      </c>
      <c r="H12" s="126">
        <f>H13+H17+H20+H23</f>
        <v>63203.860000000044</v>
      </c>
      <c r="I12" s="137">
        <f t="shared" ref="I12:I39" si="0">H12/G12</f>
        <v>5.0009900880891217E-2</v>
      </c>
      <c r="J12" s="138">
        <f>J13+J17+J20+J23</f>
        <v>1326948.8</v>
      </c>
    </row>
    <row r="13" spans="1:11" ht="27" customHeight="1" x14ac:dyDescent="0.25">
      <c r="A13" s="6"/>
      <c r="B13" s="38">
        <v>63</v>
      </c>
      <c r="C13" s="38"/>
      <c r="D13" s="38" t="s">
        <v>30</v>
      </c>
      <c r="E13" s="58">
        <f>E14+E15</f>
        <v>769150.58</v>
      </c>
      <c r="F13" s="63">
        <f>SUM(F14:F15)</f>
        <v>946844.98</v>
      </c>
      <c r="G13" s="63">
        <f>SUM(G14:G16)</f>
        <v>1187123</v>
      </c>
      <c r="H13" s="127">
        <f>SUM(H14:H15)</f>
        <v>18045.450000000037</v>
      </c>
      <c r="I13" s="141">
        <f t="shared" si="0"/>
        <v>1.5200994336728408E-2</v>
      </c>
      <c r="J13" s="142">
        <f>J14+J15+J16</f>
        <v>1205168.45</v>
      </c>
    </row>
    <row r="14" spans="1:11" x14ac:dyDescent="0.25">
      <c r="A14" s="7"/>
      <c r="B14" s="7"/>
      <c r="C14" s="8" t="s">
        <v>55</v>
      </c>
      <c r="D14" s="8" t="s">
        <v>34</v>
      </c>
      <c r="E14" s="59">
        <v>765599.62</v>
      </c>
      <c r="F14" s="64">
        <v>946250</v>
      </c>
      <c r="G14" s="64">
        <v>1065748</v>
      </c>
      <c r="H14" s="128">
        <f>J14-G14</f>
        <v>18285.790000000037</v>
      </c>
      <c r="I14" s="136">
        <f t="shared" si="0"/>
        <v>1.7157705198602331E-2</v>
      </c>
      <c r="J14" s="34">
        <v>1084033.79</v>
      </c>
    </row>
    <row r="15" spans="1:11" ht="15.75" customHeight="1" x14ac:dyDescent="0.25">
      <c r="A15" s="7"/>
      <c r="B15" s="7"/>
      <c r="C15" s="49" t="s">
        <v>56</v>
      </c>
      <c r="D15" s="8" t="s">
        <v>35</v>
      </c>
      <c r="E15" s="59">
        <v>3550.96</v>
      </c>
      <c r="F15" s="65">
        <v>594.98</v>
      </c>
      <c r="G15" s="65">
        <v>500</v>
      </c>
      <c r="H15" s="128">
        <f>J15-G15</f>
        <v>-240.33999999999997</v>
      </c>
      <c r="I15" s="136">
        <f t="shared" si="0"/>
        <v>-0.48067999999999994</v>
      </c>
      <c r="J15" s="34">
        <v>259.66000000000003</v>
      </c>
    </row>
    <row r="16" spans="1:11" x14ac:dyDescent="0.25">
      <c r="A16" s="7"/>
      <c r="B16" s="7"/>
      <c r="C16" s="49" t="s">
        <v>103</v>
      </c>
      <c r="D16" s="8" t="s">
        <v>111</v>
      </c>
      <c r="E16" s="59">
        <v>0</v>
      </c>
      <c r="F16" s="65">
        <v>0</v>
      </c>
      <c r="G16" s="65">
        <v>120875</v>
      </c>
      <c r="H16" s="128">
        <v>0</v>
      </c>
      <c r="I16" s="136">
        <f t="shared" si="0"/>
        <v>0</v>
      </c>
      <c r="J16" s="34">
        <f t="shared" ref="J16:J27" si="1">G16+H16</f>
        <v>120875</v>
      </c>
    </row>
    <row r="17" spans="1:10" ht="37.5" customHeight="1" x14ac:dyDescent="0.25">
      <c r="A17" s="7"/>
      <c r="B17" s="40">
        <v>65</v>
      </c>
      <c r="C17" s="41"/>
      <c r="D17" s="42" t="s">
        <v>36</v>
      </c>
      <c r="E17" s="69">
        <f>E19</f>
        <v>12725.06</v>
      </c>
      <c r="F17" s="63">
        <f>SUM(F18,F19)</f>
        <v>10135.66</v>
      </c>
      <c r="G17" s="63">
        <f>SUM(G19)</f>
        <v>7200</v>
      </c>
      <c r="H17" s="127">
        <f t="shared" ref="H17" si="2">SUM(H19)</f>
        <v>-3328</v>
      </c>
      <c r="I17" s="141">
        <f t="shared" si="0"/>
        <v>-0.4622222222222222</v>
      </c>
      <c r="J17" s="142">
        <f t="shared" si="1"/>
        <v>3872</v>
      </c>
    </row>
    <row r="18" spans="1:10" x14ac:dyDescent="0.25">
      <c r="A18" s="7"/>
      <c r="B18" s="20"/>
      <c r="C18" s="8" t="s">
        <v>58</v>
      </c>
      <c r="D18" s="8" t="s">
        <v>26</v>
      </c>
      <c r="E18" s="59">
        <v>0</v>
      </c>
      <c r="F18" s="65">
        <v>135.66</v>
      </c>
      <c r="G18" s="65">
        <v>0</v>
      </c>
      <c r="H18" s="128">
        <v>0</v>
      </c>
      <c r="I18" s="136">
        <v>0</v>
      </c>
      <c r="J18" s="34">
        <f t="shared" si="1"/>
        <v>0</v>
      </c>
    </row>
    <row r="19" spans="1:10" x14ac:dyDescent="0.25">
      <c r="A19" s="7"/>
      <c r="B19" s="20"/>
      <c r="C19" s="8" t="s">
        <v>57</v>
      </c>
      <c r="D19" s="8" t="s">
        <v>39</v>
      </c>
      <c r="E19" s="59">
        <v>12725.06</v>
      </c>
      <c r="F19" s="65">
        <v>10000</v>
      </c>
      <c r="G19" s="65">
        <v>7200</v>
      </c>
      <c r="H19" s="128">
        <f>J19-G19</f>
        <v>-3328</v>
      </c>
      <c r="I19" s="136">
        <f t="shared" si="0"/>
        <v>-0.4622222222222222</v>
      </c>
      <c r="J19" s="34">
        <v>3872</v>
      </c>
    </row>
    <row r="20" spans="1:10" ht="24.75" customHeight="1" x14ac:dyDescent="0.25">
      <c r="A20" s="7"/>
      <c r="B20" s="40">
        <v>66</v>
      </c>
      <c r="C20" s="41"/>
      <c r="D20" s="42" t="s">
        <v>37</v>
      </c>
      <c r="E20" s="69">
        <f>E22+E21</f>
        <v>879.51</v>
      </c>
      <c r="F20" s="63">
        <f>SUM(F21:F21)</f>
        <v>120</v>
      </c>
      <c r="G20" s="63">
        <f>SUM(G21:G22)</f>
        <v>2215</v>
      </c>
      <c r="H20" s="127">
        <f>SUM(H21:H22)</f>
        <v>-159</v>
      </c>
      <c r="I20" s="141">
        <f t="shared" si="0"/>
        <v>-7.1783295711060943E-2</v>
      </c>
      <c r="J20" s="142">
        <f>J21+J22</f>
        <v>1974</v>
      </c>
    </row>
    <row r="21" spans="1:10" x14ac:dyDescent="0.25">
      <c r="A21" s="7"/>
      <c r="B21" s="20"/>
      <c r="C21" s="8" t="s">
        <v>58</v>
      </c>
      <c r="D21" s="8" t="s">
        <v>26</v>
      </c>
      <c r="E21" s="59">
        <v>121.96</v>
      </c>
      <c r="F21" s="65">
        <v>120</v>
      </c>
      <c r="G21" s="65">
        <v>130</v>
      </c>
      <c r="H21" s="128">
        <f>G21-J21</f>
        <v>41</v>
      </c>
      <c r="I21" s="136">
        <f t="shared" si="0"/>
        <v>0.31538461538461537</v>
      </c>
      <c r="J21" s="34">
        <v>89</v>
      </c>
    </row>
    <row r="22" spans="1:10" x14ac:dyDescent="0.25">
      <c r="A22" s="7"/>
      <c r="B22" s="20"/>
      <c r="C22" s="49" t="s">
        <v>99</v>
      </c>
      <c r="D22" s="8" t="s">
        <v>38</v>
      </c>
      <c r="E22" s="59">
        <v>757.55</v>
      </c>
      <c r="F22" s="65">
        <v>200</v>
      </c>
      <c r="G22" s="65">
        <v>2085</v>
      </c>
      <c r="H22" s="128">
        <f>J22-G22</f>
        <v>-200</v>
      </c>
      <c r="I22" s="136">
        <f t="shared" si="0"/>
        <v>-9.5923261390887291E-2</v>
      </c>
      <c r="J22" s="34">
        <v>1885</v>
      </c>
    </row>
    <row r="23" spans="1:10" ht="26.25" customHeight="1" x14ac:dyDescent="0.25">
      <c r="A23" s="7"/>
      <c r="B23" s="40">
        <v>67</v>
      </c>
      <c r="C23" s="41"/>
      <c r="D23" s="38" t="s">
        <v>31</v>
      </c>
      <c r="E23" s="58">
        <f>E24+E30</f>
        <v>66161.919999999998</v>
      </c>
      <c r="F23" s="63">
        <f>SUM(F24:F30)</f>
        <v>57351.200000000004</v>
      </c>
      <c r="G23" s="63">
        <f>SUM(G24:G30)</f>
        <v>67288.94</v>
      </c>
      <c r="H23" s="127">
        <f>SUM(H24:H30)</f>
        <v>48645.41</v>
      </c>
      <c r="I23" s="141">
        <f t="shared" si="0"/>
        <v>0.72293321904015728</v>
      </c>
      <c r="J23" s="142">
        <f t="shared" si="1"/>
        <v>115934.35</v>
      </c>
    </row>
    <row r="24" spans="1:10" s="146" customFormat="1" ht="25.5" x14ac:dyDescent="0.25">
      <c r="A24" s="7"/>
      <c r="B24" s="7"/>
      <c r="C24" s="8" t="s">
        <v>59</v>
      </c>
      <c r="D24" s="12" t="s">
        <v>102</v>
      </c>
      <c r="E24" s="61">
        <v>38391.75</v>
      </c>
      <c r="F24" s="65">
        <v>9406.67</v>
      </c>
      <c r="G24" s="65">
        <v>18212.310000000001</v>
      </c>
      <c r="H24" s="128">
        <f>J24-G24</f>
        <v>45534.33</v>
      </c>
      <c r="I24" s="143">
        <f t="shared" si="0"/>
        <v>2.5001951976437913</v>
      </c>
      <c r="J24" s="144">
        <v>63746.64</v>
      </c>
    </row>
    <row r="25" spans="1:10" ht="25.5" hidden="1" x14ac:dyDescent="0.25">
      <c r="A25" s="9">
        <v>7</v>
      </c>
      <c r="B25" s="27">
        <v>7</v>
      </c>
      <c r="C25" s="27"/>
      <c r="D25" s="28" t="s">
        <v>12</v>
      </c>
      <c r="E25" s="60"/>
      <c r="F25" s="66">
        <f>F26</f>
        <v>0</v>
      </c>
      <c r="G25" s="66"/>
      <c r="H25" s="129"/>
      <c r="I25" s="136" t="e">
        <f t="shared" si="0"/>
        <v>#DIV/0!</v>
      </c>
      <c r="J25" s="34">
        <f t="shared" si="1"/>
        <v>0</v>
      </c>
    </row>
    <row r="26" spans="1:10" ht="25.5" hidden="1" x14ac:dyDescent="0.25">
      <c r="A26" s="10"/>
      <c r="B26" s="10">
        <v>72</v>
      </c>
      <c r="C26" s="10"/>
      <c r="D26" s="19" t="s">
        <v>29</v>
      </c>
      <c r="E26" s="61"/>
      <c r="F26" s="65"/>
      <c r="G26" s="65"/>
      <c r="H26" s="128"/>
      <c r="I26" s="136" t="e">
        <f t="shared" si="0"/>
        <v>#DIV/0!</v>
      </c>
      <c r="J26" s="34">
        <f t="shared" si="1"/>
        <v>0</v>
      </c>
    </row>
    <row r="27" spans="1:10" ht="25.5" hidden="1" x14ac:dyDescent="0.25">
      <c r="A27" s="10"/>
      <c r="B27" s="10"/>
      <c r="C27" s="10">
        <v>71</v>
      </c>
      <c r="D27" s="11" t="s">
        <v>12</v>
      </c>
      <c r="E27" s="70"/>
      <c r="F27" s="65"/>
      <c r="G27" s="65"/>
      <c r="H27" s="128"/>
      <c r="I27" s="136" t="e">
        <f t="shared" si="0"/>
        <v>#DIV/0!</v>
      </c>
      <c r="J27" s="34">
        <f t="shared" si="1"/>
        <v>0</v>
      </c>
    </row>
    <row r="28" spans="1:10" x14ac:dyDescent="0.25">
      <c r="A28" s="10"/>
      <c r="B28" s="10"/>
      <c r="C28" s="8" t="s">
        <v>59</v>
      </c>
      <c r="D28" s="96" t="s">
        <v>100</v>
      </c>
      <c r="E28" s="70">
        <v>0</v>
      </c>
      <c r="F28" s="65">
        <v>1642.57</v>
      </c>
      <c r="G28" s="65">
        <v>1699.9</v>
      </c>
      <c r="H28" s="128">
        <f>J28-G28</f>
        <v>16.689999999999827</v>
      </c>
      <c r="I28" s="136">
        <f t="shared" si="0"/>
        <v>9.8182246014470419E-3</v>
      </c>
      <c r="J28" s="34">
        <v>1716.59</v>
      </c>
    </row>
    <row r="29" spans="1:10" x14ac:dyDescent="0.25">
      <c r="A29" s="10"/>
      <c r="B29" s="10"/>
      <c r="C29" s="8" t="s">
        <v>59</v>
      </c>
      <c r="D29" s="96" t="s">
        <v>101</v>
      </c>
      <c r="E29" s="70">
        <v>0</v>
      </c>
      <c r="F29" s="65">
        <v>9307.73</v>
      </c>
      <c r="G29" s="65">
        <v>9632.74</v>
      </c>
      <c r="H29" s="128">
        <f>J29-G29</f>
        <v>94.389999999999418</v>
      </c>
      <c r="I29" s="136">
        <f t="shared" si="0"/>
        <v>9.7988734254219906E-3</v>
      </c>
      <c r="J29" s="34">
        <v>9727.1299999999992</v>
      </c>
    </row>
    <row r="30" spans="1:10" x14ac:dyDescent="0.25">
      <c r="A30" s="7"/>
      <c r="B30" s="7"/>
      <c r="C30" s="8" t="s">
        <v>60</v>
      </c>
      <c r="D30" s="11" t="s">
        <v>40</v>
      </c>
      <c r="E30" s="70">
        <v>27770.17</v>
      </c>
      <c r="F30" s="65">
        <v>36994.230000000003</v>
      </c>
      <c r="G30" s="65">
        <v>37743.99</v>
      </c>
      <c r="H30" s="128">
        <f>J30-G30</f>
        <v>3000</v>
      </c>
      <c r="I30" s="136">
        <f t="shared" si="0"/>
        <v>7.9482852766758372E-2</v>
      </c>
      <c r="J30" s="34">
        <v>40743.99</v>
      </c>
    </row>
    <row r="31" spans="1:10" x14ac:dyDescent="0.25">
      <c r="A31" s="6">
        <v>9</v>
      </c>
      <c r="B31" s="43">
        <v>9</v>
      </c>
      <c r="C31" s="43"/>
      <c r="D31" s="44" t="s">
        <v>41</v>
      </c>
      <c r="E31" s="62">
        <f>E32</f>
        <v>7025.0500000000011</v>
      </c>
      <c r="F31" s="90">
        <f>F32</f>
        <v>7025.0500000000011</v>
      </c>
      <c r="G31" s="90">
        <f>G32</f>
        <v>6046.44</v>
      </c>
      <c r="H31" s="130">
        <f>H32</f>
        <v>0</v>
      </c>
      <c r="I31" s="137">
        <f t="shared" si="0"/>
        <v>0</v>
      </c>
      <c r="J31" s="138">
        <f>G31+H31</f>
        <v>6046.44</v>
      </c>
    </row>
    <row r="32" spans="1:10" x14ac:dyDescent="0.25">
      <c r="A32" s="6"/>
      <c r="B32" s="10">
        <v>92</v>
      </c>
      <c r="C32" s="10"/>
      <c r="D32" s="19" t="s">
        <v>42</v>
      </c>
      <c r="E32" s="61">
        <f>E38+E34+E35+E36+E37</f>
        <v>7025.0500000000011</v>
      </c>
      <c r="F32" s="65">
        <f>F38+F34+F35+F37+F36</f>
        <v>7025.0500000000011</v>
      </c>
      <c r="G32" s="65">
        <v>6046.44</v>
      </c>
      <c r="H32" s="128">
        <f>G32-J32</f>
        <v>0</v>
      </c>
      <c r="I32" s="136">
        <f t="shared" si="0"/>
        <v>0</v>
      </c>
      <c r="J32" s="34">
        <f>J33+J34+J35+J36+J37+J38</f>
        <v>6046.44</v>
      </c>
    </row>
    <row r="33" spans="1:10" x14ac:dyDescent="0.25">
      <c r="A33" s="6"/>
      <c r="B33" s="10"/>
      <c r="C33" s="8" t="s">
        <v>59</v>
      </c>
      <c r="D33" s="12" t="s">
        <v>114</v>
      </c>
      <c r="E33" s="61"/>
      <c r="F33" s="65"/>
      <c r="G33" s="65">
        <v>135</v>
      </c>
      <c r="H33" s="128">
        <f t="shared" ref="H33:H38" si="3">G33-J33</f>
        <v>0</v>
      </c>
      <c r="I33" s="136">
        <v>0</v>
      </c>
      <c r="J33" s="34">
        <v>135</v>
      </c>
    </row>
    <row r="34" spans="1:10" x14ac:dyDescent="0.25">
      <c r="A34" s="6"/>
      <c r="B34" s="10"/>
      <c r="C34" s="8" t="s">
        <v>58</v>
      </c>
      <c r="D34" s="8" t="s">
        <v>74</v>
      </c>
      <c r="E34" s="65">
        <v>28.9</v>
      </c>
      <c r="F34" s="65">
        <v>28.9</v>
      </c>
      <c r="G34" s="65">
        <v>-46</v>
      </c>
      <c r="H34" s="128">
        <f t="shared" si="3"/>
        <v>0</v>
      </c>
      <c r="I34" s="136">
        <v>0</v>
      </c>
      <c r="J34" s="34">
        <v>-46</v>
      </c>
    </row>
    <row r="35" spans="1:10" x14ac:dyDescent="0.25">
      <c r="A35" s="6"/>
      <c r="B35" s="10"/>
      <c r="C35" s="8" t="s">
        <v>57</v>
      </c>
      <c r="D35" s="26" t="s">
        <v>49</v>
      </c>
      <c r="E35" s="65">
        <v>8183.7</v>
      </c>
      <c r="F35" s="65">
        <v>8183.7</v>
      </c>
      <c r="G35" s="65">
        <v>7875.45</v>
      </c>
      <c r="H35" s="128">
        <f t="shared" si="3"/>
        <v>765.88000000000011</v>
      </c>
      <c r="I35" s="136">
        <f t="shared" si="0"/>
        <v>9.7249046086255411E-2</v>
      </c>
      <c r="J35" s="34">
        <v>7109.57</v>
      </c>
    </row>
    <row r="36" spans="1:10" x14ac:dyDescent="0.25">
      <c r="A36" s="6"/>
      <c r="B36" s="10"/>
      <c r="C36" s="8" t="s">
        <v>55</v>
      </c>
      <c r="D36" s="8" t="s">
        <v>98</v>
      </c>
      <c r="E36" s="106" t="s">
        <v>97</v>
      </c>
      <c r="F36" s="106" t="s">
        <v>97</v>
      </c>
      <c r="G36" s="109">
        <v>-3209.67</v>
      </c>
      <c r="H36" s="128">
        <f t="shared" si="3"/>
        <v>-765.88000000000011</v>
      </c>
      <c r="I36" s="136">
        <f t="shared" si="0"/>
        <v>0.23861643097265453</v>
      </c>
      <c r="J36" s="34">
        <v>-2443.79</v>
      </c>
    </row>
    <row r="37" spans="1:10" x14ac:dyDescent="0.25">
      <c r="A37" s="10"/>
      <c r="B37" s="10"/>
      <c r="C37" s="8" t="s">
        <v>56</v>
      </c>
      <c r="D37" s="26" t="s">
        <v>51</v>
      </c>
      <c r="E37" s="65">
        <v>905.02</v>
      </c>
      <c r="F37" s="65">
        <v>905.02</v>
      </c>
      <c r="G37" s="65">
        <v>995.34</v>
      </c>
      <c r="H37" s="128">
        <f t="shared" si="3"/>
        <v>0</v>
      </c>
      <c r="I37" s="136">
        <f t="shared" si="0"/>
        <v>0</v>
      </c>
      <c r="J37" s="34">
        <v>995.34</v>
      </c>
    </row>
    <row r="38" spans="1:10" x14ac:dyDescent="0.25">
      <c r="A38" s="6"/>
      <c r="B38" s="10"/>
      <c r="C38" s="49" t="s">
        <v>99</v>
      </c>
      <c r="D38" s="8" t="s">
        <v>73</v>
      </c>
      <c r="E38" s="65">
        <v>457.51</v>
      </c>
      <c r="F38" s="65">
        <v>457.51</v>
      </c>
      <c r="G38" s="65">
        <v>296.32</v>
      </c>
      <c r="H38" s="128">
        <f t="shared" si="3"/>
        <v>0</v>
      </c>
      <c r="I38" s="136">
        <v>0</v>
      </c>
      <c r="J38" s="34">
        <v>296.32</v>
      </c>
    </row>
    <row r="39" spans="1:10" x14ac:dyDescent="0.25">
      <c r="A39" s="264" t="s">
        <v>54</v>
      </c>
      <c r="B39" s="264"/>
      <c r="C39" s="264"/>
      <c r="D39" s="264"/>
      <c r="E39" s="67">
        <f>E31+E12</f>
        <v>855942.12000000011</v>
      </c>
      <c r="F39" s="68">
        <f>F12+F31</f>
        <v>1024226.9700000001</v>
      </c>
      <c r="G39" s="68">
        <f>G12+G31</f>
        <v>1269873.3799999999</v>
      </c>
      <c r="H39" s="131">
        <f>H12+H31</f>
        <v>63203.860000000044</v>
      </c>
      <c r="I39" s="145">
        <f t="shared" si="0"/>
        <v>4.9771781183412196E-2</v>
      </c>
      <c r="J39" s="36">
        <f>J11+J31</f>
        <v>1332995.24</v>
      </c>
    </row>
    <row r="41" spans="1:10" ht="18" x14ac:dyDescent="0.25">
      <c r="A41" s="3"/>
      <c r="B41" s="3"/>
      <c r="C41" s="3"/>
      <c r="D41" s="3"/>
      <c r="E41" s="17"/>
      <c r="F41" s="29"/>
      <c r="G41" s="29"/>
      <c r="H41" s="124"/>
    </row>
    <row r="42" spans="1:10" s="146" customFormat="1" ht="37.5" customHeight="1" x14ac:dyDescent="0.25">
      <c r="A42" s="14" t="s">
        <v>7</v>
      </c>
      <c r="B42" s="114" t="s">
        <v>8</v>
      </c>
      <c r="C42" s="114" t="s">
        <v>9</v>
      </c>
      <c r="D42" s="114" t="s">
        <v>13</v>
      </c>
      <c r="E42" s="14" t="s">
        <v>90</v>
      </c>
      <c r="F42" s="14" t="s">
        <v>91</v>
      </c>
      <c r="G42" s="14" t="s">
        <v>117</v>
      </c>
      <c r="H42" s="116" t="s">
        <v>105</v>
      </c>
      <c r="I42" s="14" t="s">
        <v>107</v>
      </c>
      <c r="J42" s="14" t="s">
        <v>118</v>
      </c>
    </row>
    <row r="43" spans="1:10" s="146" customFormat="1" x14ac:dyDescent="0.25">
      <c r="A43" s="14"/>
      <c r="B43" s="261" t="s">
        <v>96</v>
      </c>
      <c r="C43" s="262"/>
      <c r="D43" s="263"/>
      <c r="E43" s="74">
        <f>E44</f>
        <v>847028.32</v>
      </c>
      <c r="F43" s="105">
        <f>F44+F72</f>
        <v>1024720.54</v>
      </c>
      <c r="G43" s="105">
        <f>G44+G72</f>
        <v>1270082.6399999999</v>
      </c>
      <c r="H43" s="132">
        <f>J43-G43</f>
        <v>75627.360000000102</v>
      </c>
      <c r="I43" s="149">
        <f>H43/G43</f>
        <v>5.9545227702663593E-2</v>
      </c>
      <c r="J43" s="150">
        <f>J44+J72</f>
        <v>1345710</v>
      </c>
    </row>
    <row r="44" spans="1:10" s="146" customFormat="1" ht="15.75" customHeight="1" x14ac:dyDescent="0.25">
      <c r="A44" s="6">
        <v>3</v>
      </c>
      <c r="B44" s="39">
        <v>3</v>
      </c>
      <c r="C44" s="39"/>
      <c r="D44" s="39" t="s">
        <v>14</v>
      </c>
      <c r="E44" s="56">
        <v>847028.32</v>
      </c>
      <c r="F44" s="87">
        <f>F45+F51+F62+F66+F70</f>
        <v>1018120.54</v>
      </c>
      <c r="G44" s="87">
        <f>G45+G51+G62+G66+G70</f>
        <v>1141022.19</v>
      </c>
      <c r="H44" s="56">
        <f t="shared" ref="H44:H83" si="4">J44-G44</f>
        <v>31882.810000000056</v>
      </c>
      <c r="I44" s="147">
        <f t="shared" ref="I44:I81" si="5">H44/G44</f>
        <v>2.7942322488925527E-2</v>
      </c>
      <c r="J44" s="148">
        <f>J45+J51+J62+J66+J70</f>
        <v>1172905</v>
      </c>
    </row>
    <row r="45" spans="1:10" s="146" customFormat="1" ht="15.75" customHeight="1" x14ac:dyDescent="0.25">
      <c r="A45" s="6"/>
      <c r="B45" s="38">
        <v>31</v>
      </c>
      <c r="C45" s="38"/>
      <c r="D45" s="38" t="s">
        <v>15</v>
      </c>
      <c r="E45" s="54">
        <f>E46+E49+E50</f>
        <v>693339.04</v>
      </c>
      <c r="F45" s="86">
        <f>SUM(F46:F50)</f>
        <v>876740.47</v>
      </c>
      <c r="G45" s="86">
        <f>SUM(G46:G50)</f>
        <v>975868.9</v>
      </c>
      <c r="H45" s="93">
        <f t="shared" si="4"/>
        <v>34368.790000000037</v>
      </c>
      <c r="I45" s="175">
        <f t="shared" si="5"/>
        <v>3.5218654882843418E-2</v>
      </c>
      <c r="J45" s="142">
        <f>J46+J47+J48+J49</f>
        <v>1010237.6900000001</v>
      </c>
    </row>
    <row r="46" spans="1:10" s="146" customFormat="1" ht="25.5" x14ac:dyDescent="0.25">
      <c r="A46" s="7"/>
      <c r="B46" s="7"/>
      <c r="C46" s="49" t="s">
        <v>59</v>
      </c>
      <c r="D46" s="11" t="s">
        <v>43</v>
      </c>
      <c r="E46" s="73">
        <f>1538.34+271.45+96.25+3089.68+147.02</f>
        <v>5142.74</v>
      </c>
      <c r="F46" s="88">
        <f>702.19+234.71+877.8+662.04+4974.22+3751.43</f>
        <v>11202.39</v>
      </c>
      <c r="G46" s="88">
        <v>1278.01</v>
      </c>
      <c r="H46" s="173">
        <f t="shared" si="4"/>
        <v>750</v>
      </c>
      <c r="I46" s="174">
        <f t="shared" si="5"/>
        <v>0.58684986815439633</v>
      </c>
      <c r="J46" s="144">
        <f>1230.19+47.82+200+400+150</f>
        <v>2028.01</v>
      </c>
    </row>
    <row r="47" spans="1:10" s="146" customFormat="1" x14ac:dyDescent="0.25">
      <c r="A47" s="7"/>
      <c r="B47" s="7"/>
      <c r="C47" s="49" t="s">
        <v>112</v>
      </c>
      <c r="D47" s="96" t="s">
        <v>100</v>
      </c>
      <c r="E47" s="73"/>
      <c r="F47" s="88"/>
      <c r="G47" s="88">
        <v>1597.64</v>
      </c>
      <c r="H47" s="173">
        <f t="shared" si="4"/>
        <v>0</v>
      </c>
      <c r="I47" s="174">
        <f t="shared" si="5"/>
        <v>0</v>
      </c>
      <c r="J47" s="144">
        <f>1716.56-108.63-4.9-5.39</f>
        <v>1597.6399999999996</v>
      </c>
    </row>
    <row r="48" spans="1:10" s="146" customFormat="1" x14ac:dyDescent="0.25">
      <c r="A48" s="7"/>
      <c r="B48" s="7"/>
      <c r="C48" s="8" t="s">
        <v>59</v>
      </c>
      <c r="D48" s="96" t="s">
        <v>101</v>
      </c>
      <c r="E48" s="73"/>
      <c r="F48" s="88"/>
      <c r="G48" s="88">
        <v>9053.25</v>
      </c>
      <c r="H48" s="173">
        <f t="shared" si="4"/>
        <v>0</v>
      </c>
      <c r="I48" s="174">
        <f t="shared" si="5"/>
        <v>0</v>
      </c>
      <c r="J48" s="144">
        <f>8714.51+338.74</f>
        <v>9053.25</v>
      </c>
    </row>
    <row r="49" spans="1:10" s="146" customFormat="1" x14ac:dyDescent="0.25">
      <c r="A49" s="7"/>
      <c r="B49" s="7"/>
      <c r="C49" s="8" t="s">
        <v>55</v>
      </c>
      <c r="D49" s="8" t="s">
        <v>34</v>
      </c>
      <c r="E49" s="57">
        <f>557208.93+4830.63+5459.81+9300+17069.73+92764.12</f>
        <v>686633.22000000009</v>
      </c>
      <c r="F49" s="88">
        <f>9900+702283.46+1300+116200+8321.62+8050+2330+150+3+17000</f>
        <v>865538.08</v>
      </c>
      <c r="G49" s="88">
        <v>963940</v>
      </c>
      <c r="H49" s="173">
        <f t="shared" si="4"/>
        <v>33618.790000000037</v>
      </c>
      <c r="I49" s="174">
        <f t="shared" si="5"/>
        <v>3.487643421789742E-2</v>
      </c>
      <c r="J49" s="144">
        <f>1083583.79+450-J58-J71-J78</f>
        <v>997558.79</v>
      </c>
    </row>
    <row r="50" spans="1:10" s="146" customFormat="1" ht="15.75" customHeight="1" x14ac:dyDescent="0.25">
      <c r="A50" s="7"/>
      <c r="B50" s="7"/>
      <c r="C50" s="8" t="s">
        <v>56</v>
      </c>
      <c r="D50" s="8" t="s">
        <v>45</v>
      </c>
      <c r="E50" s="57">
        <f>1212.95+150+200.13</f>
        <v>1563.08</v>
      </c>
      <c r="F50" s="88">
        <v>0</v>
      </c>
      <c r="G50" s="88">
        <v>0</v>
      </c>
      <c r="H50" s="173">
        <f t="shared" si="4"/>
        <v>0</v>
      </c>
      <c r="I50" s="174">
        <v>0</v>
      </c>
      <c r="J50" s="144">
        <v>0</v>
      </c>
    </row>
    <row r="51" spans="1:10" s="146" customFormat="1" x14ac:dyDescent="0.25">
      <c r="A51" s="7"/>
      <c r="B51" s="40">
        <v>32</v>
      </c>
      <c r="C51" s="41"/>
      <c r="D51" s="40" t="s">
        <v>22</v>
      </c>
      <c r="E51" s="71">
        <f>E52+E55+E61+E56+E57+E58+E59</f>
        <v>141362.22999999998</v>
      </c>
      <c r="F51" s="86">
        <f>SUM(F52:F60)</f>
        <v>131628.07</v>
      </c>
      <c r="G51" s="86">
        <f>SUM(G52:G61)</f>
        <v>149043.29</v>
      </c>
      <c r="H51" s="93">
        <f t="shared" si="4"/>
        <v>989.01999999998952</v>
      </c>
      <c r="I51" s="175">
        <f t="shared" si="5"/>
        <v>6.635790178813078E-3</v>
      </c>
      <c r="J51" s="142">
        <f>J52+J53+J54+J55+J56+J57+J58+J59+J61</f>
        <v>150032.31</v>
      </c>
    </row>
    <row r="52" spans="1:10" s="146" customFormat="1" x14ac:dyDescent="0.25">
      <c r="A52" s="7"/>
      <c r="B52" s="7"/>
      <c r="C52" s="8" t="s">
        <v>59</v>
      </c>
      <c r="D52" s="8" t="s">
        <v>11</v>
      </c>
      <c r="E52" s="57">
        <v>26692.19</v>
      </c>
      <c r="F52" s="88">
        <f>52.71+2.68+11.88+40+15+460+2500+3000+750+238.5+65.89+3.35+33.49+373.4+18.97+189.71</f>
        <v>7755.5800000000008</v>
      </c>
      <c r="G52" s="88">
        <v>11543.56</v>
      </c>
      <c r="H52" s="173">
        <f t="shared" si="4"/>
        <v>245.07000000000153</v>
      </c>
      <c r="I52" s="174">
        <f t="shared" si="5"/>
        <v>2.1230019162199663E-2</v>
      </c>
      <c r="J52" s="144">
        <f>86.9+3.92+4.31+70+61+450+100+212.5+450+8500+850+1000</f>
        <v>11788.630000000001</v>
      </c>
    </row>
    <row r="53" spans="1:10" s="146" customFormat="1" x14ac:dyDescent="0.25">
      <c r="A53" s="7"/>
      <c r="B53" s="7"/>
      <c r="C53" s="49" t="s">
        <v>112</v>
      </c>
      <c r="D53" s="96" t="s">
        <v>100</v>
      </c>
      <c r="E53" s="57"/>
      <c r="F53" s="88"/>
      <c r="G53" s="88">
        <v>102.26</v>
      </c>
      <c r="H53" s="173">
        <f t="shared" si="4"/>
        <v>16.659999999999997</v>
      </c>
      <c r="I53" s="174">
        <f t="shared" si="5"/>
        <v>0.16291805202425186</v>
      </c>
      <c r="J53" s="144">
        <f>108.63+4.9+5.39</f>
        <v>118.92</v>
      </c>
    </row>
    <row r="54" spans="1:10" s="146" customFormat="1" x14ac:dyDescent="0.25">
      <c r="A54" s="7"/>
      <c r="B54" s="7"/>
      <c r="C54" s="8" t="s">
        <v>59</v>
      </c>
      <c r="D54" s="96" t="s">
        <v>101</v>
      </c>
      <c r="E54" s="57"/>
      <c r="F54" s="88"/>
      <c r="G54" s="88">
        <v>579.49</v>
      </c>
      <c r="H54" s="173">
        <f t="shared" si="4"/>
        <v>94.389999999999873</v>
      </c>
      <c r="I54" s="174">
        <f t="shared" si="5"/>
        <v>0.16288460542891139</v>
      </c>
      <c r="J54" s="144">
        <f>615.56+27.77+30.55</f>
        <v>673.87999999999988</v>
      </c>
    </row>
    <row r="55" spans="1:10" s="146" customFormat="1" x14ac:dyDescent="0.25">
      <c r="A55" s="7"/>
      <c r="B55" s="7"/>
      <c r="C55" s="8" t="s">
        <v>60</v>
      </c>
      <c r="D55" s="11" t="s">
        <v>40</v>
      </c>
      <c r="E55" s="73">
        <f>27770.17-E63</f>
        <v>27282.019999999997</v>
      </c>
      <c r="F55" s="88">
        <f>4300+120+70+800+3930+4200+11114.23+180+950+100+100+1600+80+400+2300+600+1600+73+157+1900+530+165+145+50</f>
        <v>35464.229999999996</v>
      </c>
      <c r="G55" s="88">
        <v>36898.99</v>
      </c>
      <c r="H55" s="173">
        <f t="shared" si="4"/>
        <v>3369</v>
      </c>
      <c r="I55" s="174">
        <f t="shared" si="5"/>
        <v>9.1303312096076353E-2</v>
      </c>
      <c r="J55" s="144">
        <f>40743.99-J63</f>
        <v>40267.99</v>
      </c>
    </row>
    <row r="56" spans="1:10" s="146" customFormat="1" x14ac:dyDescent="0.25">
      <c r="A56" s="7"/>
      <c r="B56" s="7"/>
      <c r="C56" s="8" t="s">
        <v>58</v>
      </c>
      <c r="D56" s="8" t="s">
        <v>26</v>
      </c>
      <c r="E56" s="57">
        <v>187.82</v>
      </c>
      <c r="F56" s="88">
        <f>118.9+30+135.66</f>
        <v>284.56</v>
      </c>
      <c r="G56" s="88">
        <v>84</v>
      </c>
      <c r="H56" s="173">
        <f t="shared" si="4"/>
        <v>5</v>
      </c>
      <c r="I56" s="174">
        <f t="shared" si="5"/>
        <v>5.9523809523809521E-2</v>
      </c>
      <c r="J56" s="144">
        <v>89</v>
      </c>
    </row>
    <row r="57" spans="1:10" s="146" customFormat="1" x14ac:dyDescent="0.25">
      <c r="A57" s="7"/>
      <c r="B57" s="7"/>
      <c r="C57" s="8" t="s">
        <v>57</v>
      </c>
      <c r="D57" s="8" t="s">
        <v>44</v>
      </c>
      <c r="E57" s="57">
        <f>17484.85-E77</f>
        <v>12427.029999999999</v>
      </c>
      <c r="F57" s="88">
        <f>300+10033.7+400+700+1400+400+500+500+150+200+500+200</f>
        <v>15283.7</v>
      </c>
      <c r="G57" s="88">
        <v>13250</v>
      </c>
      <c r="H57" s="173">
        <f t="shared" si="4"/>
        <v>-4268.43</v>
      </c>
      <c r="I57" s="174">
        <f t="shared" si="5"/>
        <v>-0.32214566037735853</v>
      </c>
      <c r="J57" s="144">
        <f>10981.57-J77</f>
        <v>8981.57</v>
      </c>
    </row>
    <row r="58" spans="1:10" s="146" customFormat="1" x14ac:dyDescent="0.25">
      <c r="A58" s="7"/>
      <c r="B58" s="7"/>
      <c r="C58" s="8" t="s">
        <v>55</v>
      </c>
      <c r="D58" s="8" t="s">
        <v>34</v>
      </c>
      <c r="E58" s="57">
        <f>38506.78+20.13+31289.47+1664.43</f>
        <v>71480.81</v>
      </c>
      <c r="F58" s="89">
        <f>30000+190+39000+100+2050</f>
        <v>71340</v>
      </c>
      <c r="G58" s="89">
        <v>84068.33</v>
      </c>
      <c r="H58" s="173">
        <f t="shared" si="4"/>
        <v>1587.6699999999983</v>
      </c>
      <c r="I58" s="174">
        <f t="shared" si="5"/>
        <v>1.8885470902062624E-2</v>
      </c>
      <c r="J58" s="144">
        <f>1520+2496+36400+45240</f>
        <v>85656</v>
      </c>
    </row>
    <row r="59" spans="1:10" s="146" customFormat="1" x14ac:dyDescent="0.25">
      <c r="A59" s="7"/>
      <c r="B59" s="7"/>
      <c r="C59" s="8" t="s">
        <v>56</v>
      </c>
      <c r="D59" s="8" t="s">
        <v>45</v>
      </c>
      <c r="E59" s="57">
        <f>1601.36+125.25+800</f>
        <v>2526.6099999999997</v>
      </c>
      <c r="F59" s="88">
        <f>200+700+300+300</f>
        <v>1500</v>
      </c>
      <c r="G59" s="88">
        <v>995.34</v>
      </c>
      <c r="H59" s="173">
        <f t="shared" si="4"/>
        <v>259.65999999999997</v>
      </c>
      <c r="I59" s="174">
        <f t="shared" si="5"/>
        <v>0.26087568067193118</v>
      </c>
      <c r="J59" s="144">
        <f>705+50+100+150+250</f>
        <v>1255</v>
      </c>
    </row>
    <row r="60" spans="1:10" s="146" customFormat="1" ht="25.5" hidden="1" x14ac:dyDescent="0.25">
      <c r="A60" s="7"/>
      <c r="B60" s="7"/>
      <c r="C60" s="8">
        <v>71</v>
      </c>
      <c r="D60" s="11" t="s">
        <v>12</v>
      </c>
      <c r="E60" s="73"/>
      <c r="F60" s="88"/>
      <c r="G60" s="88"/>
      <c r="H60" s="173">
        <f t="shared" si="4"/>
        <v>0</v>
      </c>
      <c r="I60" s="174" t="e">
        <f t="shared" si="5"/>
        <v>#DIV/0!</v>
      </c>
      <c r="J60" s="144"/>
    </row>
    <row r="61" spans="1:10" s="146" customFormat="1" x14ac:dyDescent="0.25">
      <c r="A61" s="7"/>
      <c r="B61" s="7"/>
      <c r="C61" s="49" t="s">
        <v>99</v>
      </c>
      <c r="D61" s="8" t="s">
        <v>38</v>
      </c>
      <c r="E61" s="57">
        <v>765.75</v>
      </c>
      <c r="F61" s="88">
        <f>100+300+200+57.51</f>
        <v>657.51</v>
      </c>
      <c r="G61" s="88">
        <v>1521.32</v>
      </c>
      <c r="H61" s="173">
        <f t="shared" si="4"/>
        <v>-320</v>
      </c>
      <c r="I61" s="174">
        <f t="shared" si="5"/>
        <v>-0.21034364893644994</v>
      </c>
      <c r="J61" s="144">
        <f>1201.32</f>
        <v>1201.32</v>
      </c>
    </row>
    <row r="62" spans="1:10" s="146" customFormat="1" x14ac:dyDescent="0.25">
      <c r="A62" s="7"/>
      <c r="B62" s="40">
        <v>34</v>
      </c>
      <c r="C62" s="41"/>
      <c r="D62" s="47" t="s">
        <v>46</v>
      </c>
      <c r="E62" s="72">
        <f>E63+E65</f>
        <v>488.15</v>
      </c>
      <c r="F62" s="86">
        <f>SUM(F63:F65)</f>
        <v>922</v>
      </c>
      <c r="G62" s="86">
        <f>SUM(G63:G65)</f>
        <v>1820</v>
      </c>
      <c r="H62" s="93">
        <f t="shared" si="4"/>
        <v>-1344</v>
      </c>
      <c r="I62" s="175">
        <f t="shared" si="5"/>
        <v>-0.7384615384615385</v>
      </c>
      <c r="J62" s="142">
        <f>J63+J64+J65</f>
        <v>476</v>
      </c>
    </row>
    <row r="63" spans="1:10" s="146" customFormat="1" x14ac:dyDescent="0.25">
      <c r="A63" s="7"/>
      <c r="B63" s="7"/>
      <c r="C63" s="8" t="s">
        <v>60</v>
      </c>
      <c r="D63" s="11" t="s">
        <v>40</v>
      </c>
      <c r="E63" s="73">
        <v>488.15</v>
      </c>
      <c r="F63" s="88">
        <f>820+10</f>
        <v>830</v>
      </c>
      <c r="G63" s="88">
        <v>1690</v>
      </c>
      <c r="H63" s="173">
        <f t="shared" si="4"/>
        <v>-1214</v>
      </c>
      <c r="I63" s="174">
        <f t="shared" si="5"/>
        <v>-0.71834319526627222</v>
      </c>
      <c r="J63" s="144">
        <v>476</v>
      </c>
    </row>
    <row r="64" spans="1:10" s="146" customFormat="1" ht="15.75" customHeight="1" x14ac:dyDescent="0.25">
      <c r="A64" s="7"/>
      <c r="B64" s="7"/>
      <c r="C64" s="8" t="s">
        <v>59</v>
      </c>
      <c r="D64" s="8" t="s">
        <v>11</v>
      </c>
      <c r="E64" s="73">
        <v>0</v>
      </c>
      <c r="F64" s="88">
        <v>0</v>
      </c>
      <c r="G64" s="88">
        <v>0</v>
      </c>
      <c r="H64" s="173">
        <f t="shared" si="4"/>
        <v>0</v>
      </c>
      <c r="I64" s="174">
        <v>0</v>
      </c>
      <c r="J64" s="144">
        <v>0</v>
      </c>
    </row>
    <row r="65" spans="1:10" s="146" customFormat="1" ht="16.899999999999999" customHeight="1" x14ac:dyDescent="0.25">
      <c r="A65" s="7"/>
      <c r="B65" s="7"/>
      <c r="C65" s="8" t="s">
        <v>55</v>
      </c>
      <c r="D65" s="11" t="s">
        <v>34</v>
      </c>
      <c r="E65" s="73">
        <v>0</v>
      </c>
      <c r="F65" s="88">
        <f>27+65</f>
        <v>92</v>
      </c>
      <c r="G65" s="88">
        <v>130</v>
      </c>
      <c r="H65" s="173">
        <f t="shared" si="4"/>
        <v>-130</v>
      </c>
      <c r="I65" s="174">
        <f t="shared" si="5"/>
        <v>-1</v>
      </c>
      <c r="J65" s="144">
        <v>0</v>
      </c>
    </row>
    <row r="66" spans="1:10" s="146" customFormat="1" ht="27" customHeight="1" x14ac:dyDescent="0.25">
      <c r="A66" s="7"/>
      <c r="B66" s="40">
        <v>37</v>
      </c>
      <c r="C66" s="41"/>
      <c r="D66" s="47" t="s">
        <v>47</v>
      </c>
      <c r="E66" s="72">
        <f>E69</f>
        <v>8486.2000000000007</v>
      </c>
      <c r="F66" s="86">
        <f>F69</f>
        <v>8500</v>
      </c>
      <c r="G66" s="86">
        <f>G69+G68</f>
        <v>13890</v>
      </c>
      <c r="H66" s="93">
        <f t="shared" si="4"/>
        <v>-2100</v>
      </c>
      <c r="I66" s="175">
        <f t="shared" si="5"/>
        <v>-0.15118790496760259</v>
      </c>
      <c r="J66" s="142">
        <f>J68+J69</f>
        <v>11790</v>
      </c>
    </row>
    <row r="67" spans="1:10" s="146" customFormat="1" hidden="1" x14ac:dyDescent="0.25">
      <c r="A67" s="7"/>
      <c r="B67" s="7"/>
      <c r="C67" s="8">
        <v>11</v>
      </c>
      <c r="D67" s="11" t="s">
        <v>48</v>
      </c>
      <c r="E67" s="73"/>
      <c r="F67" s="88"/>
      <c r="G67" s="88"/>
      <c r="H67" s="132">
        <f t="shared" si="4"/>
        <v>0</v>
      </c>
      <c r="I67" s="149" t="e">
        <f t="shared" si="5"/>
        <v>#DIV/0!</v>
      </c>
      <c r="J67" s="144"/>
    </row>
    <row r="68" spans="1:10" s="146" customFormat="1" x14ac:dyDescent="0.25">
      <c r="A68" s="7"/>
      <c r="B68" s="7"/>
      <c r="C68" s="8" t="s">
        <v>59</v>
      </c>
      <c r="D68" s="8" t="s">
        <v>11</v>
      </c>
      <c r="E68" s="73">
        <f>2138.67+693.15+600</f>
        <v>3431.82</v>
      </c>
      <c r="F68" s="88">
        <f>199+600+500+100</f>
        <v>1399</v>
      </c>
      <c r="G68" s="88">
        <v>1890</v>
      </c>
      <c r="H68" s="173">
        <f t="shared" si="4"/>
        <v>-460</v>
      </c>
      <c r="I68" s="174">
        <f t="shared" si="5"/>
        <v>-0.24338624338624337</v>
      </c>
      <c r="J68" s="144">
        <f>180+750+500</f>
        <v>1430</v>
      </c>
    </row>
    <row r="69" spans="1:10" s="146" customFormat="1" x14ac:dyDescent="0.25">
      <c r="A69" s="7"/>
      <c r="B69" s="7"/>
      <c r="C69" s="8" t="s">
        <v>55</v>
      </c>
      <c r="D69" s="8" t="s">
        <v>34</v>
      </c>
      <c r="E69" s="57">
        <v>8486.2000000000007</v>
      </c>
      <c r="F69" s="88">
        <f>8500</f>
        <v>8500</v>
      </c>
      <c r="G69" s="88">
        <v>12000</v>
      </c>
      <c r="H69" s="173">
        <f t="shared" si="4"/>
        <v>-1640</v>
      </c>
      <c r="I69" s="174">
        <f t="shared" si="5"/>
        <v>-0.13666666666666666</v>
      </c>
      <c r="J69" s="144">
        <v>10360</v>
      </c>
    </row>
    <row r="70" spans="1:10" s="146" customFormat="1" x14ac:dyDescent="0.25">
      <c r="A70" s="7"/>
      <c r="B70" s="40">
        <v>38</v>
      </c>
      <c r="C70" s="41"/>
      <c r="D70" s="47" t="s">
        <v>87</v>
      </c>
      <c r="E70" s="71">
        <v>0</v>
      </c>
      <c r="F70" s="86">
        <f>F71</f>
        <v>330</v>
      </c>
      <c r="G70" s="86">
        <f>G71</f>
        <v>400</v>
      </c>
      <c r="H70" s="93">
        <f t="shared" si="4"/>
        <v>-31</v>
      </c>
      <c r="I70" s="175">
        <f t="shared" si="5"/>
        <v>-7.7499999999999999E-2</v>
      </c>
      <c r="J70" s="142">
        <f>J71</f>
        <v>369</v>
      </c>
    </row>
    <row r="71" spans="1:10" s="146" customFormat="1" ht="16.5" customHeight="1" x14ac:dyDescent="0.25">
      <c r="A71" s="7"/>
      <c r="B71" s="7"/>
      <c r="C71" s="8" t="s">
        <v>55</v>
      </c>
      <c r="D71" s="8" t="s">
        <v>34</v>
      </c>
      <c r="E71" s="57">
        <v>0</v>
      </c>
      <c r="F71" s="88">
        <v>330</v>
      </c>
      <c r="G71" s="88">
        <v>400</v>
      </c>
      <c r="H71" s="173">
        <f t="shared" si="4"/>
        <v>-31</v>
      </c>
      <c r="I71" s="174">
        <f t="shared" si="5"/>
        <v>-7.7499999999999999E-2</v>
      </c>
      <c r="J71" s="144">
        <v>369</v>
      </c>
    </row>
    <row r="72" spans="1:10" s="146" customFormat="1" ht="25.5" x14ac:dyDescent="0.25">
      <c r="A72" s="9">
        <v>4</v>
      </c>
      <c r="B72" s="46">
        <v>4</v>
      </c>
      <c r="C72" s="46"/>
      <c r="D72" s="44" t="s">
        <v>16</v>
      </c>
      <c r="E72" s="56">
        <f>E73</f>
        <v>8535.48</v>
      </c>
      <c r="F72" s="87">
        <f>F73+F82</f>
        <v>6600</v>
      </c>
      <c r="G72" s="87">
        <f>G73+G82</f>
        <v>129060.45</v>
      </c>
      <c r="H72" s="56">
        <f t="shared" si="4"/>
        <v>43744.55</v>
      </c>
      <c r="I72" s="147">
        <f t="shared" si="5"/>
        <v>0.33894620699060019</v>
      </c>
      <c r="J72" s="148">
        <f>J73+J82</f>
        <v>172805</v>
      </c>
    </row>
    <row r="73" spans="1:10" s="146" customFormat="1" ht="27.6" customHeight="1" x14ac:dyDescent="0.25">
      <c r="A73" s="10"/>
      <c r="B73" s="38">
        <v>42</v>
      </c>
      <c r="C73" s="38"/>
      <c r="D73" s="48" t="s">
        <v>32</v>
      </c>
      <c r="E73" s="54">
        <f>E74+E75+E77+E78+E79+E81</f>
        <v>8535.48</v>
      </c>
      <c r="F73" s="86">
        <f>SUM(F74:F79)</f>
        <v>6600</v>
      </c>
      <c r="G73" s="86">
        <f>SUM(G74:G81)</f>
        <v>129060.45</v>
      </c>
      <c r="H73" s="93">
        <f t="shared" si="4"/>
        <v>43744.55</v>
      </c>
      <c r="I73" s="175">
        <f t="shared" si="5"/>
        <v>0.33894620699060019</v>
      </c>
      <c r="J73" s="142">
        <f>J74+J75+J77+J78+J79+J80+J81</f>
        <v>172805</v>
      </c>
    </row>
    <row r="74" spans="1:10" s="146" customFormat="1" x14ac:dyDescent="0.25">
      <c r="A74" s="10"/>
      <c r="B74" s="10"/>
      <c r="C74" s="50" t="s">
        <v>59</v>
      </c>
      <c r="D74" s="8" t="s">
        <v>11</v>
      </c>
      <c r="E74" s="57">
        <v>3125</v>
      </c>
      <c r="F74" s="88">
        <v>0</v>
      </c>
      <c r="G74" s="88">
        <v>3500</v>
      </c>
      <c r="H74" s="173">
        <f t="shared" si="4"/>
        <v>45000</v>
      </c>
      <c r="I74" s="174">
        <f t="shared" si="5"/>
        <v>12.857142857142858</v>
      </c>
      <c r="J74" s="144">
        <f>3500+45000</f>
        <v>48500</v>
      </c>
    </row>
    <row r="75" spans="1:10" s="146" customFormat="1" ht="15.75" customHeight="1" x14ac:dyDescent="0.25">
      <c r="A75" s="10"/>
      <c r="B75" s="10"/>
      <c r="C75" s="50" t="s">
        <v>60</v>
      </c>
      <c r="D75" s="11" t="s">
        <v>40</v>
      </c>
      <c r="E75" s="73">
        <v>0</v>
      </c>
      <c r="F75" s="88">
        <f>700</f>
        <v>700</v>
      </c>
      <c r="G75" s="88">
        <v>0</v>
      </c>
      <c r="H75" s="173">
        <f t="shared" si="4"/>
        <v>0</v>
      </c>
      <c r="I75" s="174">
        <v>0</v>
      </c>
      <c r="J75" s="144">
        <v>0</v>
      </c>
    </row>
    <row r="76" spans="1:10" s="146" customFormat="1" ht="15" hidden="1" customHeight="1" x14ac:dyDescent="0.25">
      <c r="A76" s="10"/>
      <c r="B76" s="10"/>
      <c r="C76" s="12">
        <v>31</v>
      </c>
      <c r="D76" s="32" t="s">
        <v>26</v>
      </c>
      <c r="E76" s="55"/>
      <c r="F76" s="88"/>
      <c r="G76" s="88"/>
      <c r="H76" s="173">
        <f t="shared" si="4"/>
        <v>0</v>
      </c>
      <c r="I76" s="174" t="e">
        <f t="shared" si="5"/>
        <v>#DIV/0!</v>
      </c>
      <c r="J76" s="144"/>
    </row>
    <row r="77" spans="1:10" s="146" customFormat="1" x14ac:dyDescent="0.25">
      <c r="A77" s="10"/>
      <c r="B77" s="10"/>
      <c r="C77" s="50" t="s">
        <v>57</v>
      </c>
      <c r="D77" s="32" t="s">
        <v>44</v>
      </c>
      <c r="E77" s="55">
        <v>5057.82</v>
      </c>
      <c r="F77" s="88">
        <f>200+2700</f>
        <v>2900</v>
      </c>
      <c r="G77" s="88">
        <v>1825.45</v>
      </c>
      <c r="H77" s="173">
        <f t="shared" si="4"/>
        <v>174.54999999999995</v>
      </c>
      <c r="I77" s="174">
        <f t="shared" si="5"/>
        <v>9.5620258018570742E-2</v>
      </c>
      <c r="J77" s="144">
        <v>2000</v>
      </c>
    </row>
    <row r="78" spans="1:10" s="146" customFormat="1" x14ac:dyDescent="0.25">
      <c r="A78" s="10"/>
      <c r="B78" s="10"/>
      <c r="C78" s="50" t="s">
        <v>55</v>
      </c>
      <c r="D78" s="11" t="s">
        <v>34</v>
      </c>
      <c r="E78" s="73">
        <v>352.66</v>
      </c>
      <c r="F78" s="88">
        <v>3000</v>
      </c>
      <c r="G78" s="88">
        <v>2000</v>
      </c>
      <c r="H78" s="173">
        <f t="shared" si="4"/>
        <v>-1550</v>
      </c>
      <c r="I78" s="174">
        <f t="shared" si="5"/>
        <v>-0.77500000000000002</v>
      </c>
      <c r="J78" s="144">
        <v>450</v>
      </c>
    </row>
    <row r="79" spans="1:10" s="146" customFormat="1" ht="16.5" customHeight="1" x14ac:dyDescent="0.25">
      <c r="A79" s="10"/>
      <c r="B79" s="10"/>
      <c r="C79" s="8" t="s">
        <v>56</v>
      </c>
      <c r="D79" s="8" t="s">
        <v>45</v>
      </c>
      <c r="E79" s="57">
        <v>0</v>
      </c>
      <c r="F79" s="88">
        <v>0</v>
      </c>
      <c r="G79" s="88">
        <v>0</v>
      </c>
      <c r="H79" s="173">
        <f t="shared" si="4"/>
        <v>0</v>
      </c>
      <c r="I79" s="174">
        <v>0</v>
      </c>
      <c r="J79" s="144">
        <v>0</v>
      </c>
    </row>
    <row r="80" spans="1:10" s="146" customFormat="1" ht="16.5" customHeight="1" x14ac:dyDescent="0.25">
      <c r="A80" s="10"/>
      <c r="B80" s="10"/>
      <c r="C80" s="110" t="s">
        <v>104</v>
      </c>
      <c r="D80" s="8" t="s">
        <v>113</v>
      </c>
      <c r="E80" s="57"/>
      <c r="F80" s="88"/>
      <c r="G80" s="88">
        <v>120875</v>
      </c>
      <c r="H80" s="173">
        <f t="shared" si="4"/>
        <v>0</v>
      </c>
      <c r="I80" s="174">
        <f t="shared" si="5"/>
        <v>0</v>
      </c>
      <c r="J80" s="144">
        <v>120875</v>
      </c>
    </row>
    <row r="81" spans="1:10" s="146" customFormat="1" ht="15" customHeight="1" x14ac:dyDescent="0.25">
      <c r="A81" s="10"/>
      <c r="B81" s="10"/>
      <c r="C81" s="49" t="s">
        <v>99</v>
      </c>
      <c r="D81" s="8" t="s">
        <v>38</v>
      </c>
      <c r="E81" s="57">
        <v>0</v>
      </c>
      <c r="F81" s="88">
        <v>0</v>
      </c>
      <c r="G81" s="88">
        <v>860</v>
      </c>
      <c r="H81" s="173">
        <f t="shared" si="4"/>
        <v>120</v>
      </c>
      <c r="I81" s="174">
        <f t="shared" si="5"/>
        <v>0.13953488372093023</v>
      </c>
      <c r="J81" s="144">
        <v>980</v>
      </c>
    </row>
    <row r="82" spans="1:10" s="146" customFormat="1" ht="25.5" x14ac:dyDescent="0.25">
      <c r="A82" s="10"/>
      <c r="B82" s="38">
        <v>45</v>
      </c>
      <c r="C82" s="38"/>
      <c r="D82" s="48" t="s">
        <v>88</v>
      </c>
      <c r="E82" s="54">
        <f>E83+E84+E87+E88+E89+E85</f>
        <v>0</v>
      </c>
      <c r="F82" s="86">
        <f>F83</f>
        <v>0</v>
      </c>
      <c r="G82" s="86">
        <v>0</v>
      </c>
      <c r="H82" s="93">
        <f t="shared" si="4"/>
        <v>0</v>
      </c>
      <c r="I82" s="175">
        <v>0</v>
      </c>
      <c r="J82" s="142">
        <f>J83</f>
        <v>0</v>
      </c>
    </row>
    <row r="83" spans="1:10" s="146" customFormat="1" x14ac:dyDescent="0.25">
      <c r="A83" s="10"/>
      <c r="B83" s="10"/>
      <c r="C83" s="50" t="s">
        <v>59</v>
      </c>
      <c r="D83" s="8" t="s">
        <v>11</v>
      </c>
      <c r="E83" s="57">
        <v>0</v>
      </c>
      <c r="F83" s="88">
        <v>0</v>
      </c>
      <c r="G83" s="88">
        <v>0</v>
      </c>
      <c r="H83" s="173">
        <f t="shared" si="4"/>
        <v>0</v>
      </c>
      <c r="I83" s="174">
        <v>0</v>
      </c>
      <c r="J83" s="144">
        <v>0</v>
      </c>
    </row>
    <row r="85" spans="1:10" hidden="1" x14ac:dyDescent="0.25">
      <c r="C85" s="8">
        <v>11</v>
      </c>
      <c r="D85" s="8" t="s">
        <v>11</v>
      </c>
      <c r="E85" s="8"/>
      <c r="F85" s="34">
        <f>F74+F52+F46</f>
        <v>18957.97</v>
      </c>
      <c r="G85" s="34"/>
      <c r="H85" s="35">
        <f>H74+H52+H46</f>
        <v>45995.07</v>
      </c>
    </row>
    <row r="86" spans="1:10" hidden="1" x14ac:dyDescent="0.25">
      <c r="C86" s="8">
        <v>13</v>
      </c>
      <c r="D86" s="11" t="s">
        <v>40</v>
      </c>
      <c r="E86" s="11"/>
      <c r="F86" s="34">
        <f>F75+F63+F55</f>
        <v>36994.229999999996</v>
      </c>
      <c r="G86" s="34"/>
      <c r="H86" s="35">
        <f>H75+H63+H55</f>
        <v>2155</v>
      </c>
    </row>
    <row r="87" spans="1:10" hidden="1" x14ac:dyDescent="0.25">
      <c r="C87" s="8">
        <v>21</v>
      </c>
      <c r="D87" s="8" t="s">
        <v>38</v>
      </c>
      <c r="E87" s="8"/>
      <c r="F87" s="34">
        <f>F61</f>
        <v>657.51</v>
      </c>
      <c r="G87" s="34"/>
      <c r="H87" s="35">
        <f>H61</f>
        <v>-320</v>
      </c>
    </row>
    <row r="88" spans="1:10" hidden="1" x14ac:dyDescent="0.25">
      <c r="C88" s="8">
        <v>31</v>
      </c>
      <c r="D88" s="8" t="s">
        <v>26</v>
      </c>
      <c r="E88" s="8"/>
      <c r="F88" s="34">
        <f>F56</f>
        <v>284.56</v>
      </c>
      <c r="G88" s="34"/>
      <c r="H88" s="35">
        <f>H56</f>
        <v>5</v>
      </c>
    </row>
    <row r="89" spans="1:10" hidden="1" x14ac:dyDescent="0.25">
      <c r="C89" s="8">
        <v>43</v>
      </c>
      <c r="D89" s="8" t="s">
        <v>44</v>
      </c>
      <c r="E89" s="8"/>
      <c r="F89" s="34">
        <f>F77+F57</f>
        <v>18183.7</v>
      </c>
      <c r="G89" s="34"/>
      <c r="H89" s="35">
        <f>H77+H57</f>
        <v>-4093.88</v>
      </c>
    </row>
    <row r="90" spans="1:10" hidden="1" x14ac:dyDescent="0.25">
      <c r="C90" s="8">
        <v>52</v>
      </c>
      <c r="D90" s="8" t="s">
        <v>34</v>
      </c>
      <c r="E90" s="8"/>
      <c r="F90" s="34">
        <f>F78+F69+F65+F58+F49</f>
        <v>948470.08</v>
      </c>
      <c r="G90" s="34"/>
      <c r="H90" s="35">
        <f>H78+H69+H65+H58+H49</f>
        <v>31886.460000000036</v>
      </c>
    </row>
    <row r="91" spans="1:10" hidden="1" x14ac:dyDescent="0.25">
      <c r="C91" s="8">
        <v>54</v>
      </c>
      <c r="D91" s="8" t="s">
        <v>45</v>
      </c>
      <c r="E91" s="8"/>
      <c r="F91" s="34">
        <f>F59</f>
        <v>1500</v>
      </c>
      <c r="G91" s="34"/>
      <c r="H91" s="35">
        <f>H59</f>
        <v>259.65999999999997</v>
      </c>
    </row>
    <row r="92" spans="1:10" hidden="1" x14ac:dyDescent="0.25">
      <c r="D92" s="33" t="s">
        <v>52</v>
      </c>
      <c r="E92" s="33"/>
      <c r="F92" s="36">
        <f>SUM(F85:F91)</f>
        <v>1025048.0499999999</v>
      </c>
      <c r="G92" s="36"/>
      <c r="H92" s="133">
        <f>SUM(H85:H91)</f>
        <v>75887.310000000041</v>
      </c>
    </row>
    <row r="93" spans="1:10" hidden="1" x14ac:dyDescent="0.25"/>
    <row r="94" spans="1:10" hidden="1" x14ac:dyDescent="0.25"/>
  </sheetData>
  <mergeCells count="8">
    <mergeCell ref="B43:D43"/>
    <mergeCell ref="B11:D11"/>
    <mergeCell ref="A39:D39"/>
    <mergeCell ref="A1:K1"/>
    <mergeCell ref="A2:K2"/>
    <mergeCell ref="A4:J4"/>
    <mergeCell ref="A6:J6"/>
    <mergeCell ref="A8:J8"/>
  </mergeCells>
  <pageMargins left="0.43307086614173229" right="0.23622047244094491" top="0.35433070866141736" bottom="0.35433070866141736" header="0.31496062992125984" footer="0.31496062992125984"/>
  <pageSetup paperSize="9" scale="9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291921-5EF0-405B-93B4-788E9D3F818E}">
  <sheetPr>
    <pageSetUpPr fitToPage="1"/>
  </sheetPr>
  <dimension ref="A1:K41"/>
  <sheetViews>
    <sheetView zoomScale="115" zoomScaleNormal="115" workbookViewId="0">
      <selection activeCell="G27" sqref="G27:J27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6" customWidth="1"/>
    <col min="4" max="4" width="34.28515625" customWidth="1"/>
    <col min="5" max="5" width="21.140625" hidden="1" customWidth="1"/>
    <col min="6" max="6" width="20.140625" style="30" hidden="1" customWidth="1"/>
    <col min="7" max="7" width="22.42578125" style="30" customWidth="1"/>
    <col min="8" max="8" width="22.140625" style="123" customWidth="1"/>
    <col min="9" max="9" width="16" customWidth="1"/>
    <col min="10" max="10" width="18.140625" customWidth="1"/>
  </cols>
  <sheetData>
    <row r="1" spans="1:11" ht="36.75" customHeight="1" x14ac:dyDescent="0.25">
      <c r="A1" s="237" t="s">
        <v>115</v>
      </c>
      <c r="B1" s="237"/>
      <c r="C1" s="237"/>
      <c r="D1" s="237"/>
      <c r="E1" s="237"/>
      <c r="F1" s="237"/>
      <c r="G1" s="237"/>
      <c r="H1" s="237"/>
      <c r="I1" s="237"/>
      <c r="J1" s="237"/>
      <c r="K1" s="237"/>
    </row>
    <row r="2" spans="1:11" ht="18" customHeight="1" x14ac:dyDescent="0.25">
      <c r="A2" s="238" t="s">
        <v>109</v>
      </c>
      <c r="B2" s="238"/>
      <c r="C2" s="238"/>
      <c r="D2" s="238"/>
      <c r="E2" s="238"/>
      <c r="F2" s="238"/>
      <c r="G2" s="238"/>
      <c r="H2" s="238"/>
      <c r="I2" s="238"/>
      <c r="J2" s="238"/>
      <c r="K2" s="238"/>
    </row>
    <row r="3" spans="1:11" ht="18" customHeight="1" x14ac:dyDescent="0.25">
      <c r="A3" s="172"/>
      <c r="B3" s="172"/>
      <c r="C3" s="172"/>
      <c r="D3" s="172"/>
      <c r="E3" s="172"/>
      <c r="F3" s="172"/>
      <c r="G3" s="172"/>
      <c r="H3" s="171"/>
    </row>
    <row r="4" spans="1:11" ht="15" customHeight="1" x14ac:dyDescent="0.25">
      <c r="A4" s="239" t="s">
        <v>20</v>
      </c>
      <c r="B4" s="239"/>
      <c r="C4" s="239"/>
      <c r="D4" s="239"/>
      <c r="E4" s="239"/>
      <c r="F4" s="239"/>
      <c r="G4" s="239"/>
      <c r="H4" s="239"/>
      <c r="I4" s="239"/>
      <c r="J4" s="239"/>
    </row>
    <row r="5" spans="1:11" ht="18" x14ac:dyDescent="0.25">
      <c r="A5" s="172"/>
      <c r="B5" s="172"/>
      <c r="C5" s="172"/>
      <c r="D5" s="172"/>
      <c r="E5" s="172"/>
      <c r="F5" s="29"/>
      <c r="G5" s="29"/>
      <c r="H5" s="124"/>
    </row>
    <row r="6" spans="1:11" ht="18" customHeight="1" x14ac:dyDescent="0.25">
      <c r="A6" s="239" t="s">
        <v>6</v>
      </c>
      <c r="B6" s="239"/>
      <c r="C6" s="239"/>
      <c r="D6" s="239"/>
      <c r="E6" s="239"/>
      <c r="F6" s="239"/>
      <c r="G6" s="239"/>
      <c r="H6" s="239"/>
      <c r="I6" s="239"/>
      <c r="J6" s="239"/>
    </row>
    <row r="7" spans="1:11" ht="18" x14ac:dyDescent="0.25">
      <c r="A7" s="172"/>
      <c r="B7" s="172"/>
      <c r="C7" s="172"/>
      <c r="D7" s="172"/>
      <c r="E7" s="172"/>
      <c r="F7" s="29"/>
      <c r="G7" s="29"/>
      <c r="H7" s="124"/>
    </row>
    <row r="8" spans="1:11" ht="15.75" customHeight="1" x14ac:dyDescent="0.25">
      <c r="A8" s="239" t="s">
        <v>119</v>
      </c>
      <c r="B8" s="239"/>
      <c r="C8" s="239"/>
      <c r="D8" s="239"/>
      <c r="E8" s="239"/>
      <c r="F8" s="239"/>
      <c r="G8" s="239"/>
      <c r="H8" s="239"/>
      <c r="I8" s="239"/>
      <c r="J8" s="239"/>
    </row>
    <row r="9" spans="1:11" ht="18" x14ac:dyDescent="0.25">
      <c r="D9" s="172"/>
      <c r="E9" s="172"/>
      <c r="F9" s="172"/>
      <c r="G9" s="172"/>
      <c r="H9" s="117"/>
    </row>
    <row r="10" spans="1:11" s="146" customFormat="1" ht="38.25" x14ac:dyDescent="0.25">
      <c r="D10" s="14" t="s">
        <v>64</v>
      </c>
      <c r="E10" s="14" t="s">
        <v>90</v>
      </c>
      <c r="F10" s="14" t="s">
        <v>91</v>
      </c>
      <c r="G10" s="14" t="s">
        <v>117</v>
      </c>
      <c r="H10" s="116" t="s">
        <v>105</v>
      </c>
      <c r="I10" s="14" t="s">
        <v>107</v>
      </c>
      <c r="J10" s="14" t="s">
        <v>118</v>
      </c>
    </row>
    <row r="11" spans="1:11" s="146" customFormat="1" x14ac:dyDescent="0.25">
      <c r="D11" s="176" t="s">
        <v>0</v>
      </c>
      <c r="E11" s="177">
        <v>848917.07</v>
      </c>
      <c r="F11" s="177" t="e">
        <f>F12+F23+F15+F17+F19</f>
        <v>#REF!</v>
      </c>
      <c r="G11" s="192">
        <f>G12+G23+G15+G17+G19</f>
        <v>1272994.05</v>
      </c>
      <c r="H11" s="193">
        <f>J11-G11</f>
        <v>53954.719999999972</v>
      </c>
      <c r="I11" s="194">
        <f>H11/G11</f>
        <v>4.2384110122117201E-2</v>
      </c>
      <c r="J11" s="195">
        <f>J12+J15+J17+J19+J23</f>
        <v>1326948.77</v>
      </c>
    </row>
    <row r="12" spans="1:11" s="146" customFormat="1" x14ac:dyDescent="0.25">
      <c r="D12" s="91" t="s">
        <v>120</v>
      </c>
      <c r="E12" s="180" t="e">
        <f>E13+E14</f>
        <v>#REF!</v>
      </c>
      <c r="F12" s="180" t="e">
        <f>F13+F14</f>
        <v>#REF!</v>
      </c>
      <c r="G12" s="196">
        <f>G13+G14</f>
        <v>67288.94</v>
      </c>
      <c r="H12" s="54">
        <f>J12-G12</f>
        <v>37201.69</v>
      </c>
      <c r="I12" s="197">
        <f t="shared" ref="I12:I24" si="0">H12/G12</f>
        <v>0.55286485416474096</v>
      </c>
      <c r="J12" s="198">
        <f>J13+J14</f>
        <v>104490.63</v>
      </c>
    </row>
    <row r="13" spans="1:11" s="146" customFormat="1" x14ac:dyDescent="0.25">
      <c r="D13" s="8" t="s">
        <v>121</v>
      </c>
      <c r="E13" s="88" t="e">
        <f>#REF!</f>
        <v>#REF!</v>
      </c>
      <c r="F13" s="88" t="e">
        <f>#REF!+#REF!+#REF!</f>
        <v>#REF!</v>
      </c>
      <c r="G13" s="88">
        <f>18212.31+1699.9+9632.74</f>
        <v>29544.950000000004</v>
      </c>
      <c r="H13" s="181">
        <f>J13-G13</f>
        <v>34201.689999999995</v>
      </c>
      <c r="I13" s="199">
        <f t="shared" si="0"/>
        <v>1.1576154300481127</v>
      </c>
      <c r="J13" s="200">
        <v>63746.64</v>
      </c>
    </row>
    <row r="14" spans="1:11" s="146" customFormat="1" x14ac:dyDescent="0.25">
      <c r="D14" s="8" t="s">
        <v>122</v>
      </c>
      <c r="E14" s="88" t="e">
        <f>#REF!</f>
        <v>#REF!</v>
      </c>
      <c r="F14" s="88" t="e">
        <f>#REF!</f>
        <v>#REF!</v>
      </c>
      <c r="G14" s="88">
        <v>37743.99</v>
      </c>
      <c r="H14" s="181">
        <f t="shared" ref="H14:H24" si="1">J14-G14</f>
        <v>3000</v>
      </c>
      <c r="I14" s="201">
        <f t="shared" si="0"/>
        <v>7.9482852766758372E-2</v>
      </c>
      <c r="J14" s="202">
        <v>40743.99</v>
      </c>
    </row>
    <row r="15" spans="1:11" s="146" customFormat="1" x14ac:dyDescent="0.25">
      <c r="D15" s="91" t="s">
        <v>123</v>
      </c>
      <c r="E15" s="182" t="e">
        <f>E16</f>
        <v>#REF!</v>
      </c>
      <c r="F15" s="182" t="e">
        <f t="shared" ref="F15:G15" si="2">F16</f>
        <v>#REF!</v>
      </c>
      <c r="G15" s="86">
        <f t="shared" si="2"/>
        <v>130</v>
      </c>
      <c r="H15" s="203">
        <f t="shared" si="1"/>
        <v>-41</v>
      </c>
      <c r="I15" s="197">
        <f t="shared" si="0"/>
        <v>-0.31538461538461537</v>
      </c>
      <c r="J15" s="198">
        <f>J16</f>
        <v>89</v>
      </c>
    </row>
    <row r="16" spans="1:11" s="146" customFormat="1" x14ac:dyDescent="0.25">
      <c r="D16" s="8" t="s">
        <v>124</v>
      </c>
      <c r="E16" s="88" t="e">
        <f>#REF!</f>
        <v>#REF!</v>
      </c>
      <c r="F16" s="88" t="e">
        <f>#REF!+#REF!</f>
        <v>#REF!</v>
      </c>
      <c r="G16" s="88">
        <v>130</v>
      </c>
      <c r="H16" s="181">
        <f t="shared" si="1"/>
        <v>-41</v>
      </c>
      <c r="I16" s="201">
        <f t="shared" si="0"/>
        <v>-0.31538461538461537</v>
      </c>
      <c r="J16" s="202">
        <v>89</v>
      </c>
    </row>
    <row r="17" spans="4:10" s="146" customFormat="1" ht="18.75" customHeight="1" x14ac:dyDescent="0.25">
      <c r="D17" s="92" t="s">
        <v>125</v>
      </c>
      <c r="E17" s="184" t="e">
        <f>E18</f>
        <v>#REF!</v>
      </c>
      <c r="F17" s="184" t="e">
        <f t="shared" ref="F17:G17" si="3">F18</f>
        <v>#REF!</v>
      </c>
      <c r="G17" s="204">
        <f t="shared" si="3"/>
        <v>15075.45</v>
      </c>
      <c r="H17" s="203">
        <f t="shared" si="1"/>
        <v>-11203.45</v>
      </c>
      <c r="I17" s="197">
        <f t="shared" si="0"/>
        <v>-0.74315857901422511</v>
      </c>
      <c r="J17" s="198">
        <f>J18</f>
        <v>3872</v>
      </c>
    </row>
    <row r="18" spans="4:10" s="146" customFormat="1" ht="18" customHeight="1" x14ac:dyDescent="0.25">
      <c r="D18" s="11" t="s">
        <v>126</v>
      </c>
      <c r="E18" s="185" t="e">
        <f>#REF!</f>
        <v>#REF!</v>
      </c>
      <c r="F18" s="88" t="e">
        <f>#REF!</f>
        <v>#REF!</v>
      </c>
      <c r="G18" s="88">
        <v>15075.45</v>
      </c>
      <c r="H18" s="181">
        <f t="shared" si="1"/>
        <v>-11203.45</v>
      </c>
      <c r="I18" s="201">
        <f t="shared" si="0"/>
        <v>-0.74315857901422511</v>
      </c>
      <c r="J18" s="202">
        <v>3872</v>
      </c>
    </row>
    <row r="19" spans="4:10" s="146" customFormat="1" x14ac:dyDescent="0.25">
      <c r="D19" s="186" t="s">
        <v>127</v>
      </c>
      <c r="E19" s="184" t="e">
        <f>E20+E21</f>
        <v>#REF!</v>
      </c>
      <c r="F19" s="184" t="e">
        <f t="shared" ref="F19" si="4">F20+F21</f>
        <v>#REF!</v>
      </c>
      <c r="G19" s="204">
        <f>G20+G21+G22</f>
        <v>1188118.3400000001</v>
      </c>
      <c r="H19" s="203">
        <f t="shared" si="1"/>
        <v>28493.800000000047</v>
      </c>
      <c r="I19" s="197">
        <f t="shared" si="0"/>
        <v>2.3982291191633354E-2</v>
      </c>
      <c r="J19" s="198">
        <f>J20+J21+J22</f>
        <v>1216612.1400000001</v>
      </c>
    </row>
    <row r="20" spans="4:10" s="146" customFormat="1" x14ac:dyDescent="0.25">
      <c r="D20" s="8" t="s">
        <v>128</v>
      </c>
      <c r="E20" s="185" t="e">
        <f>#REF!</f>
        <v>#REF!</v>
      </c>
      <c r="F20" s="88" t="e">
        <f>#REF!</f>
        <v>#REF!</v>
      </c>
      <c r="G20" s="88">
        <v>1065748</v>
      </c>
      <c r="H20" s="181">
        <f t="shared" si="1"/>
        <v>20002.350000000093</v>
      </c>
      <c r="I20" s="201">
        <f t="shared" si="0"/>
        <v>1.8768367381407323E-2</v>
      </c>
      <c r="J20" s="202">
        <v>1085750.3500000001</v>
      </c>
    </row>
    <row r="21" spans="4:10" s="146" customFormat="1" x14ac:dyDescent="0.25">
      <c r="D21" s="8" t="s">
        <v>129</v>
      </c>
      <c r="E21" s="185" t="e">
        <f>#REF!</f>
        <v>#REF!</v>
      </c>
      <c r="F21" s="88" t="e">
        <f>#REF!</f>
        <v>#REF!</v>
      </c>
      <c r="G21" s="88">
        <v>1495.34</v>
      </c>
      <c r="H21" s="181">
        <f t="shared" si="1"/>
        <v>-1235.6799999999998</v>
      </c>
      <c r="I21" s="201">
        <f t="shared" si="0"/>
        <v>-0.82635387269784788</v>
      </c>
      <c r="J21" s="202">
        <v>259.66000000000003</v>
      </c>
    </row>
    <row r="22" spans="4:10" s="146" customFormat="1" x14ac:dyDescent="0.25">
      <c r="D22" s="8" t="s">
        <v>130</v>
      </c>
      <c r="E22" s="185"/>
      <c r="F22" s="88"/>
      <c r="G22" s="88">
        <v>120875</v>
      </c>
      <c r="H22" s="181">
        <f t="shared" si="1"/>
        <v>9727.1300000000047</v>
      </c>
      <c r="I22" s="201">
        <f t="shared" si="0"/>
        <v>8.0472637021716684E-2</v>
      </c>
      <c r="J22" s="202">
        <v>130602.13</v>
      </c>
    </row>
    <row r="23" spans="4:10" s="146" customFormat="1" x14ac:dyDescent="0.25">
      <c r="D23" s="91" t="s">
        <v>131</v>
      </c>
      <c r="E23" s="182" t="e">
        <f>E24</f>
        <v>#REF!</v>
      </c>
      <c r="F23" s="182" t="e">
        <f t="shared" ref="F23:G23" si="5">F24</f>
        <v>#REF!</v>
      </c>
      <c r="G23" s="86">
        <f t="shared" si="5"/>
        <v>2381.3200000000002</v>
      </c>
      <c r="H23" s="203">
        <f t="shared" si="1"/>
        <v>-496.32000000000016</v>
      </c>
      <c r="I23" s="197">
        <f t="shared" si="0"/>
        <v>-0.20842221960929239</v>
      </c>
      <c r="J23" s="198">
        <f>J24</f>
        <v>1885</v>
      </c>
    </row>
    <row r="24" spans="4:10" s="146" customFormat="1" x14ac:dyDescent="0.25">
      <c r="D24" s="8" t="s">
        <v>132</v>
      </c>
      <c r="E24" s="88" t="e">
        <f>#REF!</f>
        <v>#REF!</v>
      </c>
      <c r="F24" s="88" t="e">
        <f>#REF!</f>
        <v>#REF!</v>
      </c>
      <c r="G24" s="88">
        <v>2381.3200000000002</v>
      </c>
      <c r="H24" s="181">
        <f t="shared" si="1"/>
        <v>-496.32000000000016</v>
      </c>
      <c r="I24" s="201">
        <f t="shared" si="0"/>
        <v>-0.20842221960929239</v>
      </c>
      <c r="J24" s="202">
        <v>1885</v>
      </c>
    </row>
    <row r="25" spans="4:10" x14ac:dyDescent="0.25">
      <c r="D25" s="187"/>
      <c r="E25" s="188"/>
      <c r="F25" s="188"/>
      <c r="G25" s="188"/>
      <c r="H25" s="189"/>
    </row>
    <row r="26" spans="4:10" ht="18" x14ac:dyDescent="0.25">
      <c r="D26" s="172"/>
      <c r="E26" s="172"/>
      <c r="F26" s="172"/>
      <c r="G26" s="172"/>
      <c r="H26" s="117"/>
    </row>
    <row r="27" spans="4:10" s="146" customFormat="1" ht="38.25" x14ac:dyDescent="0.25">
      <c r="D27" s="14" t="s">
        <v>64</v>
      </c>
      <c r="E27" s="14" t="s">
        <v>90</v>
      </c>
      <c r="F27" s="14" t="s">
        <v>91</v>
      </c>
      <c r="G27" s="14" t="s">
        <v>117</v>
      </c>
      <c r="H27" s="116" t="s">
        <v>105</v>
      </c>
      <c r="I27" s="14" t="s">
        <v>107</v>
      </c>
      <c r="J27" s="14" t="s">
        <v>118</v>
      </c>
    </row>
    <row r="28" spans="4:10" s="146" customFormat="1" x14ac:dyDescent="0.25">
      <c r="D28" s="176" t="s">
        <v>1</v>
      </c>
      <c r="E28" s="190">
        <v>847028.32</v>
      </c>
      <c r="F28" s="191" t="e">
        <f>F29+F40+F32+F34+F36</f>
        <v>#REF!</v>
      </c>
      <c r="G28" s="205">
        <f>G29+G40+G32+G34+G36</f>
        <v>1272994.05</v>
      </c>
      <c r="H28" s="212">
        <f>J28-G28</f>
        <v>59866.159999999916</v>
      </c>
      <c r="I28" s="194">
        <f>H28/G28</f>
        <v>4.7027839603806409E-2</v>
      </c>
      <c r="J28" s="195">
        <f>J29+J32+J34+J36+J40</f>
        <v>1332860.21</v>
      </c>
    </row>
    <row r="29" spans="4:10" s="146" customFormat="1" x14ac:dyDescent="0.25">
      <c r="D29" s="91" t="s">
        <v>120</v>
      </c>
      <c r="E29" s="180">
        <f>E30+E31</f>
        <v>66161.919999999998</v>
      </c>
      <c r="F29" s="180" t="e">
        <f>F30+F31</f>
        <v>#REF!</v>
      </c>
      <c r="G29" s="206">
        <f>G30+G31</f>
        <v>67288.94</v>
      </c>
      <c r="H29" s="207">
        <f>J29-G29</f>
        <v>37201.69</v>
      </c>
      <c r="I29" s="197">
        <f t="shared" ref="I29:I41" si="6">H29/G29</f>
        <v>0.55286485416474096</v>
      </c>
      <c r="J29" s="198">
        <f>J30+J31</f>
        <v>104490.63</v>
      </c>
    </row>
    <row r="30" spans="4:10" s="146" customFormat="1" ht="14.25" customHeight="1" x14ac:dyDescent="0.25">
      <c r="D30" s="8" t="s">
        <v>121</v>
      </c>
      <c r="E30" s="88">
        <v>38391.75</v>
      </c>
      <c r="F30" s="88" t="e">
        <f>#REF!+#REF!+#REF!+#REF!</f>
        <v>#REF!</v>
      </c>
      <c r="G30" s="208">
        <f>18212.31+1699.9+9632.74</f>
        <v>29544.950000000004</v>
      </c>
      <c r="H30" s="209">
        <f>J30-G30</f>
        <v>34201.689999999995</v>
      </c>
      <c r="I30" s="201">
        <f t="shared" si="6"/>
        <v>1.1576154300481127</v>
      </c>
      <c r="J30" s="202">
        <v>63746.64</v>
      </c>
    </row>
    <row r="31" spans="4:10" s="146" customFormat="1" x14ac:dyDescent="0.25">
      <c r="D31" s="8" t="s">
        <v>122</v>
      </c>
      <c r="E31" s="88">
        <v>27770.17</v>
      </c>
      <c r="F31" s="88" t="e">
        <f>F14</f>
        <v>#REF!</v>
      </c>
      <c r="G31" s="208">
        <v>37743.99</v>
      </c>
      <c r="H31" s="209">
        <f t="shared" ref="H31:H41" si="7">J31-G31</f>
        <v>3000</v>
      </c>
      <c r="I31" s="201">
        <f t="shared" si="6"/>
        <v>7.9482852766758372E-2</v>
      </c>
      <c r="J31" s="202">
        <v>40743.99</v>
      </c>
    </row>
    <row r="32" spans="4:10" s="146" customFormat="1" x14ac:dyDescent="0.25">
      <c r="D32" s="91" t="s">
        <v>133</v>
      </c>
      <c r="E32" s="182">
        <f>E33</f>
        <v>528.99</v>
      </c>
      <c r="F32" s="182" t="e">
        <f>F33</f>
        <v>#REF!</v>
      </c>
      <c r="G32" s="210">
        <f t="shared" ref="G32" si="8">G33</f>
        <v>130</v>
      </c>
      <c r="H32" s="211">
        <f t="shared" si="7"/>
        <v>-87</v>
      </c>
      <c r="I32" s="197">
        <f t="shared" si="6"/>
        <v>-0.66923076923076918</v>
      </c>
      <c r="J32" s="198">
        <f>J33</f>
        <v>43</v>
      </c>
    </row>
    <row r="33" spans="4:10" s="146" customFormat="1" x14ac:dyDescent="0.25">
      <c r="D33" s="8" t="s">
        <v>124</v>
      </c>
      <c r="E33" s="88">
        <v>528.99</v>
      </c>
      <c r="F33" s="88" t="e">
        <f>#REF!</f>
        <v>#REF!</v>
      </c>
      <c r="G33" s="208">
        <v>130</v>
      </c>
      <c r="H33" s="209">
        <f t="shared" si="7"/>
        <v>-87</v>
      </c>
      <c r="I33" s="201">
        <f t="shared" si="6"/>
        <v>-0.66923076923076918</v>
      </c>
      <c r="J33" s="202">
        <v>43</v>
      </c>
    </row>
    <row r="34" spans="4:10" s="146" customFormat="1" ht="17.25" customHeight="1" x14ac:dyDescent="0.25">
      <c r="D34" s="92" t="s">
        <v>134</v>
      </c>
      <c r="E34" s="184">
        <f>E35</f>
        <v>17484.849999999999</v>
      </c>
      <c r="F34" s="182" t="e">
        <f>F35</f>
        <v>#REF!</v>
      </c>
      <c r="G34" s="210">
        <f t="shared" ref="G34" si="9">G35</f>
        <v>15075.45</v>
      </c>
      <c r="H34" s="211">
        <f t="shared" si="7"/>
        <v>-4093.880000000001</v>
      </c>
      <c r="I34" s="197">
        <f t="shared" si="6"/>
        <v>-0.27155938960362713</v>
      </c>
      <c r="J34" s="198">
        <f>J35</f>
        <v>10981.57</v>
      </c>
    </row>
    <row r="35" spans="4:10" s="146" customFormat="1" ht="15" customHeight="1" x14ac:dyDescent="0.25">
      <c r="D35" s="11" t="s">
        <v>126</v>
      </c>
      <c r="E35" s="185">
        <v>17484.849999999999</v>
      </c>
      <c r="F35" s="88" t="e">
        <f>#REF!+#REF!</f>
        <v>#REF!</v>
      </c>
      <c r="G35" s="208">
        <v>15075.45</v>
      </c>
      <c r="H35" s="209">
        <f t="shared" si="7"/>
        <v>-4093.880000000001</v>
      </c>
      <c r="I35" s="201">
        <f t="shared" si="6"/>
        <v>-0.27155938960362713</v>
      </c>
      <c r="J35" s="202">
        <v>10981.57</v>
      </c>
    </row>
    <row r="36" spans="4:10" s="146" customFormat="1" x14ac:dyDescent="0.25">
      <c r="D36" s="186" t="s">
        <v>127</v>
      </c>
      <c r="E36" s="184">
        <f>E37+E38</f>
        <v>772239.3899999999</v>
      </c>
      <c r="F36" s="182" t="e">
        <f>F37+F38</f>
        <v>#REF!</v>
      </c>
      <c r="G36" s="210">
        <f>G37+G38+G39</f>
        <v>1188118.3400000001</v>
      </c>
      <c r="H36" s="211">
        <f t="shared" si="7"/>
        <v>27045.34999999986</v>
      </c>
      <c r="I36" s="197">
        <f t="shared" si="6"/>
        <v>2.2763178624108992E-2</v>
      </c>
      <c r="J36" s="198">
        <f>J37+J38+J39</f>
        <v>1215163.69</v>
      </c>
    </row>
    <row r="37" spans="4:10" s="146" customFormat="1" x14ac:dyDescent="0.25">
      <c r="D37" s="8" t="s">
        <v>135</v>
      </c>
      <c r="E37" s="185">
        <v>768149.7</v>
      </c>
      <c r="F37" s="88" t="e">
        <f>#REF!+#REF!+#REF!+#REF!+#REF!+#REF!</f>
        <v>#REF!</v>
      </c>
      <c r="G37" s="208">
        <v>1065748</v>
      </c>
      <c r="H37" s="209">
        <f t="shared" si="7"/>
        <v>17558.560000000056</v>
      </c>
      <c r="I37" s="201">
        <f t="shared" si="6"/>
        <v>1.6475339386046284E-2</v>
      </c>
      <c r="J37" s="202">
        <v>1083306.56</v>
      </c>
    </row>
    <row r="38" spans="4:10" s="146" customFormat="1" x14ac:dyDescent="0.25">
      <c r="D38" s="8" t="s">
        <v>129</v>
      </c>
      <c r="E38" s="185">
        <v>4089.69</v>
      </c>
      <c r="F38" s="88" t="e">
        <f>#REF!</f>
        <v>#REF!</v>
      </c>
      <c r="G38" s="208">
        <v>1495.34</v>
      </c>
      <c r="H38" s="209">
        <f t="shared" si="7"/>
        <v>-240.33999999999992</v>
      </c>
      <c r="I38" s="201">
        <f t="shared" si="6"/>
        <v>-0.16072598873834709</v>
      </c>
      <c r="J38" s="202">
        <v>1255</v>
      </c>
    </row>
    <row r="39" spans="4:10" s="146" customFormat="1" x14ac:dyDescent="0.25">
      <c r="D39" s="8" t="s">
        <v>130</v>
      </c>
      <c r="E39" s="185"/>
      <c r="F39" s="88"/>
      <c r="G39" s="208">
        <v>120875</v>
      </c>
      <c r="H39" s="209">
        <f t="shared" si="7"/>
        <v>9727.1300000000047</v>
      </c>
      <c r="I39" s="201">
        <f t="shared" si="6"/>
        <v>8.0472637021716684E-2</v>
      </c>
      <c r="J39" s="202">
        <v>130602.13</v>
      </c>
    </row>
    <row r="40" spans="4:10" s="146" customFormat="1" x14ac:dyDescent="0.25">
      <c r="D40" s="91" t="s">
        <v>131</v>
      </c>
      <c r="E40" s="182">
        <f>E41</f>
        <v>765.75</v>
      </c>
      <c r="F40" s="182" t="e">
        <f>F41</f>
        <v>#REF!</v>
      </c>
      <c r="G40" s="210">
        <f t="shared" ref="G40" si="10">G41</f>
        <v>2381.3200000000002</v>
      </c>
      <c r="H40" s="211">
        <f t="shared" si="7"/>
        <v>-200</v>
      </c>
      <c r="I40" s="197">
        <f t="shared" si="6"/>
        <v>-8.3987032402197098E-2</v>
      </c>
      <c r="J40" s="198">
        <f>J41</f>
        <v>2181.3200000000002</v>
      </c>
    </row>
    <row r="41" spans="4:10" s="146" customFormat="1" x14ac:dyDescent="0.25">
      <c r="D41" s="8" t="s">
        <v>136</v>
      </c>
      <c r="E41" s="88">
        <v>765.75</v>
      </c>
      <c r="F41" s="88" t="e">
        <f>#REF!</f>
        <v>#REF!</v>
      </c>
      <c r="G41" s="208">
        <v>2381.3200000000002</v>
      </c>
      <c r="H41" s="209">
        <f t="shared" si="7"/>
        <v>-200</v>
      </c>
      <c r="I41" s="201">
        <f t="shared" si="6"/>
        <v>-8.3987032402197098E-2</v>
      </c>
      <c r="J41" s="202">
        <v>2181.3200000000002</v>
      </c>
    </row>
  </sheetData>
  <mergeCells count="5">
    <mergeCell ref="A8:J8"/>
    <mergeCell ref="A1:K1"/>
    <mergeCell ref="A2:K2"/>
    <mergeCell ref="A4:J4"/>
    <mergeCell ref="A6:J6"/>
  </mergeCells>
  <pageMargins left="0.23622047244094491" right="0.23622047244094491" top="0.35433070866141736" bottom="0.35433070866141736" header="0.31496062992125984" footer="0.31496062992125984"/>
  <pageSetup paperSize="9" scale="9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32"/>
  <sheetViews>
    <sheetView zoomScale="115" zoomScaleNormal="115" workbookViewId="0">
      <selection activeCell="G24" sqref="G24:J24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5.42578125" bestFit="1" customWidth="1"/>
    <col min="4" max="4" width="25.28515625" customWidth="1"/>
    <col min="5" max="5" width="16.7109375" hidden="1" customWidth="1"/>
    <col min="6" max="6" width="16.5703125" hidden="1" customWidth="1"/>
    <col min="7" max="7" width="21.42578125" customWidth="1"/>
    <col min="8" max="8" width="21.42578125" style="122" customWidth="1"/>
    <col min="9" max="9" width="13.42578125" customWidth="1"/>
    <col min="10" max="10" width="18" customWidth="1"/>
  </cols>
  <sheetData>
    <row r="1" spans="1:11" ht="36.75" customHeight="1" x14ac:dyDescent="0.25">
      <c r="A1" s="237" t="s">
        <v>137</v>
      </c>
      <c r="B1" s="237"/>
      <c r="C1" s="237"/>
      <c r="D1" s="237"/>
      <c r="E1" s="237"/>
      <c r="F1" s="237"/>
      <c r="G1" s="237"/>
      <c r="H1" s="237"/>
      <c r="I1" s="237"/>
      <c r="J1" s="237"/>
      <c r="K1" s="112"/>
    </row>
    <row r="2" spans="1:11" ht="21.75" customHeight="1" x14ac:dyDescent="0.25">
      <c r="A2" s="238"/>
      <c r="B2" s="238"/>
      <c r="C2" s="238"/>
      <c r="D2" s="238"/>
      <c r="E2" s="238"/>
      <c r="F2" s="238"/>
      <c r="G2" s="238"/>
      <c r="H2" s="238"/>
      <c r="I2" s="238"/>
      <c r="J2" s="238"/>
      <c r="K2" s="238"/>
    </row>
    <row r="3" spans="1:11" ht="18" customHeight="1" x14ac:dyDescent="0.25">
      <c r="A3" s="3"/>
      <c r="B3" s="3"/>
      <c r="C3" s="3"/>
      <c r="D3" s="3"/>
      <c r="E3" s="17"/>
      <c r="F3" s="3"/>
      <c r="G3" s="17"/>
      <c r="H3" s="111"/>
    </row>
    <row r="4" spans="1:11" ht="15.75" customHeight="1" x14ac:dyDescent="0.25">
      <c r="A4" s="239" t="s">
        <v>20</v>
      </c>
      <c r="B4" s="239"/>
      <c r="C4" s="239"/>
      <c r="D4" s="113"/>
      <c r="E4" s="113"/>
      <c r="F4" s="113"/>
      <c r="G4" s="113"/>
      <c r="H4" s="134"/>
    </row>
    <row r="5" spans="1:11" ht="15.75" x14ac:dyDescent="0.25">
      <c r="A5" s="94"/>
      <c r="B5" s="94"/>
      <c r="C5" s="94"/>
      <c r="D5" s="94"/>
      <c r="E5" s="94"/>
      <c r="F5" s="94"/>
      <c r="G5" s="94"/>
      <c r="H5" s="134"/>
    </row>
    <row r="6" spans="1:11" ht="31.5" customHeight="1" x14ac:dyDescent="0.25">
      <c r="A6" s="239" t="s">
        <v>93</v>
      </c>
      <c r="B6" s="239"/>
      <c r="C6" s="239"/>
      <c r="D6" s="239"/>
      <c r="E6" s="239"/>
      <c r="F6" s="239"/>
      <c r="G6" s="239"/>
      <c r="H6" s="239"/>
      <c r="I6" s="239"/>
      <c r="J6" s="239"/>
    </row>
    <row r="7" spans="1:11" ht="18" x14ac:dyDescent="0.25">
      <c r="A7" s="3"/>
      <c r="B7" s="3"/>
      <c r="C7" s="3"/>
      <c r="D7" s="3"/>
      <c r="E7" s="17"/>
      <c r="F7" s="3"/>
      <c r="G7" s="17"/>
      <c r="H7" s="117"/>
    </row>
    <row r="8" spans="1:11" ht="18" customHeight="1" x14ac:dyDescent="0.25">
      <c r="A8" s="239" t="s">
        <v>94</v>
      </c>
      <c r="B8" s="239"/>
      <c r="C8" s="239"/>
      <c r="D8" s="239"/>
      <c r="E8" s="239"/>
      <c r="F8" s="239"/>
      <c r="G8" s="239"/>
      <c r="H8" s="239"/>
      <c r="I8" s="239"/>
      <c r="J8" s="239"/>
    </row>
    <row r="9" spans="1:11" ht="18" x14ac:dyDescent="0.25">
      <c r="A9" s="3"/>
      <c r="B9" s="3"/>
      <c r="C9" s="3"/>
      <c r="D9" s="3"/>
      <c r="E9" s="17"/>
      <c r="F9" s="3"/>
      <c r="G9" s="17"/>
      <c r="H9" s="117"/>
    </row>
    <row r="10" spans="1:11" s="146" customFormat="1" ht="38.25" customHeight="1" x14ac:dyDescent="0.25">
      <c r="A10" s="14" t="s">
        <v>7</v>
      </c>
      <c r="B10" s="114" t="s">
        <v>8</v>
      </c>
      <c r="C10" s="114" t="s">
        <v>9</v>
      </c>
      <c r="D10" s="114" t="s">
        <v>33</v>
      </c>
      <c r="E10" s="14" t="s">
        <v>90</v>
      </c>
      <c r="F10" s="14" t="s">
        <v>91</v>
      </c>
      <c r="G10" s="14" t="s">
        <v>117</v>
      </c>
      <c r="H10" s="116" t="s">
        <v>105</v>
      </c>
      <c r="I10" s="14" t="s">
        <v>107</v>
      </c>
      <c r="J10" s="14" t="s">
        <v>118</v>
      </c>
    </row>
    <row r="11" spans="1:11" s="146" customFormat="1" ht="25.5" x14ac:dyDescent="0.25">
      <c r="A11" s="39">
        <v>8</v>
      </c>
      <c r="B11" s="39"/>
      <c r="C11" s="39"/>
      <c r="D11" s="39" t="s">
        <v>17</v>
      </c>
      <c r="E11" s="151">
        <v>0</v>
      </c>
      <c r="F11" s="152">
        <v>0</v>
      </c>
      <c r="G11" s="152">
        <v>0</v>
      </c>
      <c r="H11" s="153">
        <v>0</v>
      </c>
      <c r="I11" s="153">
        <v>0</v>
      </c>
      <c r="J11" s="153">
        <v>0</v>
      </c>
    </row>
    <row r="12" spans="1:11" s="146" customFormat="1" x14ac:dyDescent="0.25">
      <c r="A12" s="6"/>
      <c r="B12" s="10">
        <v>84</v>
      </c>
      <c r="C12" s="10"/>
      <c r="D12" s="10" t="s">
        <v>23</v>
      </c>
      <c r="E12" s="163">
        <v>0</v>
      </c>
      <c r="F12" s="164">
        <v>0</v>
      </c>
      <c r="G12" s="164">
        <v>0</v>
      </c>
      <c r="H12" s="165">
        <v>0</v>
      </c>
      <c r="I12" s="165">
        <v>0</v>
      </c>
      <c r="J12" s="165">
        <v>0</v>
      </c>
    </row>
    <row r="13" spans="1:11" s="146" customFormat="1" ht="25.5" x14ac:dyDescent="0.25">
      <c r="A13" s="7"/>
      <c r="B13" s="7"/>
      <c r="C13" s="8">
        <v>81</v>
      </c>
      <c r="D13" s="11" t="s">
        <v>24</v>
      </c>
      <c r="E13" s="157">
        <v>0</v>
      </c>
      <c r="F13" s="158">
        <v>0</v>
      </c>
      <c r="G13" s="158">
        <v>0</v>
      </c>
      <c r="H13" s="159">
        <v>0</v>
      </c>
      <c r="I13" s="159">
        <v>0</v>
      </c>
      <c r="J13" s="159">
        <v>0</v>
      </c>
    </row>
    <row r="14" spans="1:11" s="146" customFormat="1" ht="25.5" x14ac:dyDescent="0.25">
      <c r="A14" s="107">
        <v>5</v>
      </c>
      <c r="B14" s="108"/>
      <c r="C14" s="108"/>
      <c r="D14" s="91" t="s">
        <v>18</v>
      </c>
      <c r="E14" s="154">
        <v>0</v>
      </c>
      <c r="F14" s="155">
        <v>0</v>
      </c>
      <c r="G14" s="155">
        <v>0</v>
      </c>
      <c r="H14" s="156">
        <v>0</v>
      </c>
      <c r="I14" s="156">
        <v>0</v>
      </c>
      <c r="J14" s="156">
        <v>0</v>
      </c>
    </row>
    <row r="15" spans="1:11" s="146" customFormat="1" ht="25.5" x14ac:dyDescent="0.25">
      <c r="A15" s="10"/>
      <c r="B15" s="10">
        <v>54</v>
      </c>
      <c r="C15" s="10"/>
      <c r="D15" s="19" t="s">
        <v>25</v>
      </c>
      <c r="E15" s="163">
        <v>0</v>
      </c>
      <c r="F15" s="164">
        <v>0</v>
      </c>
      <c r="G15" s="164">
        <v>0</v>
      </c>
      <c r="H15" s="165">
        <v>0</v>
      </c>
      <c r="I15" s="165">
        <v>0</v>
      </c>
      <c r="J15" s="165">
        <v>0</v>
      </c>
    </row>
    <row r="16" spans="1:11" s="146" customFormat="1" x14ac:dyDescent="0.25">
      <c r="A16" s="10"/>
      <c r="B16" s="10"/>
      <c r="C16" s="8">
        <v>11</v>
      </c>
      <c r="D16" s="8" t="s">
        <v>11</v>
      </c>
      <c r="E16" s="157">
        <v>0</v>
      </c>
      <c r="F16" s="158">
        <v>0</v>
      </c>
      <c r="G16" s="158">
        <v>0</v>
      </c>
      <c r="H16" s="159">
        <v>0</v>
      </c>
      <c r="I16" s="159">
        <v>0</v>
      </c>
      <c r="J16" s="159">
        <v>0</v>
      </c>
    </row>
    <row r="17" spans="1:10" s="146" customFormat="1" x14ac:dyDescent="0.25">
      <c r="A17" s="10"/>
      <c r="B17" s="10"/>
      <c r="C17" s="8">
        <v>31</v>
      </c>
      <c r="D17" s="8" t="s">
        <v>26</v>
      </c>
      <c r="E17" s="157">
        <v>0</v>
      </c>
      <c r="F17" s="158">
        <v>0</v>
      </c>
      <c r="G17" s="158">
        <v>0</v>
      </c>
      <c r="H17" s="159">
        <v>0</v>
      </c>
      <c r="I17" s="159">
        <v>0</v>
      </c>
      <c r="J17" s="159">
        <v>0</v>
      </c>
    </row>
    <row r="22" spans="1:10" ht="15.75" customHeight="1" x14ac:dyDescent="0.25">
      <c r="A22" s="113"/>
      <c r="B22" s="113"/>
      <c r="C22" s="113"/>
      <c r="D22" s="239" t="s">
        <v>95</v>
      </c>
      <c r="E22" s="239"/>
      <c r="F22" s="239"/>
      <c r="G22" s="239"/>
      <c r="H22" s="239"/>
      <c r="I22" s="239"/>
      <c r="J22" s="239"/>
    </row>
    <row r="23" spans="1:10" ht="18" x14ac:dyDescent="0.25">
      <c r="D23" s="95"/>
      <c r="E23" s="95"/>
      <c r="F23" s="95"/>
      <c r="G23" s="95"/>
      <c r="H23" s="117"/>
    </row>
    <row r="24" spans="1:10" s="146" customFormat="1" ht="38.25" x14ac:dyDescent="0.25">
      <c r="D24" s="14" t="s">
        <v>64</v>
      </c>
      <c r="E24" s="14" t="s">
        <v>90</v>
      </c>
      <c r="F24" s="14" t="s">
        <v>91</v>
      </c>
      <c r="G24" s="14" t="s">
        <v>117</v>
      </c>
      <c r="H24" s="116" t="s">
        <v>105</v>
      </c>
      <c r="I24" s="14" t="s">
        <v>107</v>
      </c>
      <c r="J24" s="14" t="s">
        <v>118</v>
      </c>
    </row>
    <row r="25" spans="1:10" s="146" customFormat="1" x14ac:dyDescent="0.25">
      <c r="D25" s="39" t="s">
        <v>69</v>
      </c>
      <c r="E25" s="151">
        <v>0</v>
      </c>
      <c r="F25" s="152">
        <v>0</v>
      </c>
      <c r="G25" s="152">
        <v>0</v>
      </c>
      <c r="H25" s="153">
        <v>0</v>
      </c>
      <c r="I25" s="153">
        <v>0</v>
      </c>
      <c r="J25" s="153">
        <v>0</v>
      </c>
    </row>
    <row r="26" spans="1:10" s="146" customFormat="1" ht="25.5" x14ac:dyDescent="0.25">
      <c r="D26" s="92" t="s">
        <v>70</v>
      </c>
      <c r="E26" s="154">
        <v>0</v>
      </c>
      <c r="F26" s="155">
        <v>0</v>
      </c>
      <c r="G26" s="155">
        <v>0</v>
      </c>
      <c r="H26" s="156">
        <v>0</v>
      </c>
      <c r="I26" s="156">
        <v>0</v>
      </c>
      <c r="J26" s="156">
        <v>0</v>
      </c>
    </row>
    <row r="27" spans="1:10" s="146" customFormat="1" ht="25.5" x14ac:dyDescent="0.25">
      <c r="D27" s="11" t="s">
        <v>71</v>
      </c>
      <c r="E27" s="157">
        <v>0</v>
      </c>
      <c r="F27" s="158">
        <v>0</v>
      </c>
      <c r="G27" s="158">
        <v>0</v>
      </c>
      <c r="H27" s="159">
        <v>0</v>
      </c>
      <c r="I27" s="159">
        <v>0</v>
      </c>
      <c r="J27" s="159">
        <v>0</v>
      </c>
    </row>
    <row r="28" spans="1:10" s="146" customFormat="1" x14ac:dyDescent="0.25">
      <c r="D28" s="39" t="s">
        <v>72</v>
      </c>
      <c r="E28" s="151">
        <v>0</v>
      </c>
      <c r="F28" s="152">
        <v>0</v>
      </c>
      <c r="G28" s="152">
        <v>0</v>
      </c>
      <c r="H28" s="153">
        <v>0</v>
      </c>
      <c r="I28" s="153">
        <v>0</v>
      </c>
      <c r="J28" s="153">
        <v>0</v>
      </c>
    </row>
    <row r="29" spans="1:10" s="146" customFormat="1" x14ac:dyDescent="0.25">
      <c r="D29" s="18" t="s">
        <v>65</v>
      </c>
      <c r="E29" s="160">
        <v>0</v>
      </c>
      <c r="F29" s="161">
        <v>0</v>
      </c>
      <c r="G29" s="161">
        <v>0</v>
      </c>
      <c r="H29" s="162">
        <v>0</v>
      </c>
      <c r="I29" s="162">
        <v>0</v>
      </c>
      <c r="J29" s="162">
        <v>0</v>
      </c>
    </row>
    <row r="30" spans="1:10" s="146" customFormat="1" x14ac:dyDescent="0.25">
      <c r="D30" s="8" t="s">
        <v>66</v>
      </c>
      <c r="E30" s="157">
        <v>0</v>
      </c>
      <c r="F30" s="158">
        <v>0</v>
      </c>
      <c r="G30" s="158">
        <v>0</v>
      </c>
      <c r="H30" s="159">
        <v>0</v>
      </c>
      <c r="I30" s="159">
        <v>0</v>
      </c>
      <c r="J30" s="159">
        <v>0</v>
      </c>
    </row>
    <row r="31" spans="1:10" s="146" customFormat="1" x14ac:dyDescent="0.25">
      <c r="D31" s="18" t="s">
        <v>67</v>
      </c>
      <c r="E31" s="160">
        <v>0</v>
      </c>
      <c r="F31" s="161">
        <v>0</v>
      </c>
      <c r="G31" s="161">
        <v>0</v>
      </c>
      <c r="H31" s="162">
        <v>0</v>
      </c>
      <c r="I31" s="162">
        <v>0</v>
      </c>
      <c r="J31" s="162">
        <v>0</v>
      </c>
    </row>
    <row r="32" spans="1:10" s="146" customFormat="1" x14ac:dyDescent="0.25">
      <c r="D32" s="8" t="s">
        <v>68</v>
      </c>
      <c r="E32" s="157">
        <v>0</v>
      </c>
      <c r="F32" s="158">
        <v>0</v>
      </c>
      <c r="G32" s="158">
        <v>0</v>
      </c>
      <c r="H32" s="159">
        <v>0</v>
      </c>
      <c r="I32" s="159">
        <v>0</v>
      </c>
      <c r="J32" s="159">
        <v>0</v>
      </c>
    </row>
  </sheetData>
  <mergeCells count="6">
    <mergeCell ref="D22:J22"/>
    <mergeCell ref="A2:K2"/>
    <mergeCell ref="A1:J1"/>
    <mergeCell ref="A4:C4"/>
    <mergeCell ref="A8:J8"/>
    <mergeCell ref="A6:J6"/>
  </mergeCells>
  <pageMargins left="0.70866141732283472" right="0.70866141732283472" top="0.74803149606299213" bottom="1.7322834645669292" header="0.31496062992125984" footer="0.31496062992125984"/>
  <pageSetup paperSize="9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9AFC7B-ED50-4B12-815C-B6063FAC15A1}">
  <sheetPr>
    <pageSetUpPr fitToPage="1"/>
  </sheetPr>
  <dimension ref="A1:K11"/>
  <sheetViews>
    <sheetView zoomScale="115" zoomScaleNormal="115" workbookViewId="0">
      <selection activeCell="I7" sqref="I7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5.42578125" bestFit="1" customWidth="1"/>
    <col min="4" max="4" width="25.28515625" customWidth="1"/>
    <col min="5" max="5" width="16.7109375" hidden="1" customWidth="1"/>
    <col min="6" max="6" width="16.5703125" hidden="1" customWidth="1"/>
    <col min="7" max="7" width="21.42578125" customWidth="1"/>
    <col min="8" max="8" width="21.42578125" style="122" customWidth="1"/>
    <col min="9" max="9" width="14.5703125" customWidth="1"/>
    <col min="10" max="10" width="20.85546875" customWidth="1"/>
  </cols>
  <sheetData>
    <row r="1" spans="1:11" ht="36.75" customHeight="1" x14ac:dyDescent="0.25">
      <c r="A1" s="237" t="s">
        <v>137</v>
      </c>
      <c r="B1" s="237"/>
      <c r="C1" s="237"/>
      <c r="D1" s="237"/>
      <c r="E1" s="237"/>
      <c r="F1" s="237"/>
      <c r="G1" s="237"/>
      <c r="H1" s="237"/>
      <c r="I1" s="237"/>
      <c r="J1" s="237"/>
      <c r="K1" s="112"/>
    </row>
    <row r="2" spans="1:11" ht="21.75" customHeight="1" x14ac:dyDescent="0.25">
      <c r="A2" s="238"/>
      <c r="B2" s="238"/>
      <c r="C2" s="238"/>
      <c r="D2" s="238"/>
      <c r="E2" s="238"/>
      <c r="F2" s="238"/>
      <c r="G2" s="238"/>
      <c r="H2" s="238"/>
      <c r="I2" s="238"/>
      <c r="J2" s="238"/>
      <c r="K2" s="238"/>
    </row>
    <row r="3" spans="1:11" ht="18" customHeight="1" x14ac:dyDescent="0.25">
      <c r="A3" s="172"/>
      <c r="B3" s="172"/>
      <c r="C3" s="172"/>
      <c r="D3" s="172"/>
      <c r="E3" s="172"/>
      <c r="F3" s="172"/>
      <c r="G3" s="172"/>
      <c r="H3" s="171"/>
    </row>
    <row r="4" spans="1:11" ht="15.75" customHeight="1" x14ac:dyDescent="0.25">
      <c r="D4" s="239" t="s">
        <v>138</v>
      </c>
      <c r="E4" s="239"/>
      <c r="F4" s="239"/>
      <c r="G4" s="239"/>
      <c r="H4" s="239"/>
      <c r="I4" s="239"/>
      <c r="J4" s="239"/>
    </row>
    <row r="5" spans="1:11" ht="18" x14ac:dyDescent="0.25">
      <c r="D5" s="172"/>
      <c r="E5" s="172"/>
      <c r="F5" s="172"/>
      <c r="G5" s="172"/>
      <c r="H5" s="117"/>
    </row>
    <row r="6" spans="1:11" s="146" customFormat="1" ht="38.25" x14ac:dyDescent="0.25">
      <c r="A6" s="266" t="s">
        <v>139</v>
      </c>
      <c r="B6" s="266"/>
      <c r="C6" s="266"/>
      <c r="D6" s="266"/>
      <c r="E6" s="14" t="s">
        <v>90</v>
      </c>
      <c r="F6" s="14" t="s">
        <v>91</v>
      </c>
      <c r="G6" s="14" t="s">
        <v>117</v>
      </c>
      <c r="H6" s="116" t="s">
        <v>105</v>
      </c>
      <c r="I6" s="14" t="s">
        <v>107</v>
      </c>
      <c r="J6" s="14" t="s">
        <v>118</v>
      </c>
    </row>
    <row r="7" spans="1:11" s="146" customFormat="1" x14ac:dyDescent="0.25">
      <c r="A7" s="267" t="s">
        <v>140</v>
      </c>
      <c r="B7" s="267"/>
      <c r="C7" s="267"/>
      <c r="D7" s="267"/>
      <c r="E7" s="56" t="e">
        <f>E8</f>
        <v>#REF!</v>
      </c>
      <c r="F7" s="87">
        <f>F8</f>
        <v>1026777.0499999999</v>
      </c>
      <c r="G7" s="87">
        <v>1265749.29</v>
      </c>
      <c r="H7" s="213">
        <f>J7-G7</f>
        <v>67110.919999999925</v>
      </c>
      <c r="I7" s="178">
        <f>H7/G7</f>
        <v>5.3020705229864219E-2</v>
      </c>
      <c r="J7" s="179">
        <f>J8</f>
        <v>1332860.21</v>
      </c>
    </row>
    <row r="8" spans="1:11" s="146" customFormat="1" x14ac:dyDescent="0.25">
      <c r="A8" s="268" t="s">
        <v>141</v>
      </c>
      <c r="B8" s="268"/>
      <c r="C8" s="268"/>
      <c r="D8" s="268"/>
      <c r="E8" s="93" t="e">
        <f>E9+E10</f>
        <v>#REF!</v>
      </c>
      <c r="F8" s="182">
        <f>F9+F10</f>
        <v>1026777.0499999999</v>
      </c>
      <c r="G8" s="182">
        <f>G9+G10</f>
        <v>1272933.6199999999</v>
      </c>
      <c r="H8" s="183">
        <f>J8-G8</f>
        <v>59926.590000000084</v>
      </c>
      <c r="I8" s="141">
        <f t="shared" ref="I8:I10" si="0">H8/G8</f>
        <v>4.7077545174743746E-2</v>
      </c>
      <c r="J8" s="142">
        <f>J9+J10+J11</f>
        <v>1332860.21</v>
      </c>
    </row>
    <row r="9" spans="1:11" s="146" customFormat="1" x14ac:dyDescent="0.25">
      <c r="A9" s="269" t="s">
        <v>142</v>
      </c>
      <c r="B9" s="269"/>
      <c r="C9" s="269"/>
      <c r="D9" s="269"/>
      <c r="E9" s="73" t="e">
        <f>#REF!-E10</f>
        <v>#REF!</v>
      </c>
      <c r="F9" s="88">
        <v>1011493.35</v>
      </c>
      <c r="G9" s="88">
        <v>1230947.95</v>
      </c>
      <c r="H9" s="181">
        <f>J9-G9</f>
        <v>26721.929999999935</v>
      </c>
      <c r="I9" s="143">
        <f t="shared" si="0"/>
        <v>2.170841585950075E-2</v>
      </c>
      <c r="J9" s="144">
        <v>1257669.8799999999</v>
      </c>
    </row>
    <row r="10" spans="1:11" s="146" customFormat="1" x14ac:dyDescent="0.25">
      <c r="A10" s="270" t="s">
        <v>143</v>
      </c>
      <c r="B10" s="270"/>
      <c r="C10" s="270"/>
      <c r="D10" s="270"/>
      <c r="E10" s="57">
        <v>17484.849999999999</v>
      </c>
      <c r="F10" s="88">
        <v>15283.7</v>
      </c>
      <c r="G10" s="88">
        <v>41985.67</v>
      </c>
      <c r="H10" s="181">
        <f>J10-G10</f>
        <v>-41874.67</v>
      </c>
      <c r="I10" s="143">
        <f t="shared" si="0"/>
        <v>-0.99735624083169327</v>
      </c>
      <c r="J10" s="144">
        <v>111</v>
      </c>
    </row>
    <row r="11" spans="1:11" x14ac:dyDescent="0.25">
      <c r="A11" s="265" t="s">
        <v>144</v>
      </c>
      <c r="B11" s="265"/>
      <c r="C11" s="265"/>
      <c r="D11" s="265"/>
      <c r="E11" s="26"/>
      <c r="F11" s="26"/>
      <c r="G11" s="26">
        <v>0</v>
      </c>
      <c r="H11" s="35">
        <f>J11-G11</f>
        <v>75079.33</v>
      </c>
      <c r="I11" s="143">
        <v>0</v>
      </c>
      <c r="J11" s="34">
        <v>75079.33</v>
      </c>
    </row>
  </sheetData>
  <mergeCells count="9">
    <mergeCell ref="A1:J1"/>
    <mergeCell ref="A2:K2"/>
    <mergeCell ref="A11:D11"/>
    <mergeCell ref="D4:J4"/>
    <mergeCell ref="A6:D6"/>
    <mergeCell ref="A7:D7"/>
    <mergeCell ref="A8:D8"/>
    <mergeCell ref="A9:D9"/>
    <mergeCell ref="A10:D10"/>
  </mergeCells>
  <pageMargins left="0.7" right="0.7" top="0.75" bottom="0.75" header="0.3" footer="0.3"/>
  <pageSetup paperSize="9" scale="97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116"/>
  <sheetViews>
    <sheetView zoomScaleNormal="100" workbookViewId="0">
      <selection activeCell="G3" sqref="G3"/>
    </sheetView>
  </sheetViews>
  <sheetFormatPr defaultRowHeight="15" x14ac:dyDescent="0.25"/>
  <cols>
    <col min="1" max="1" width="7.42578125" bestFit="1" customWidth="1"/>
    <col min="2" max="2" width="8.7109375" customWidth="1"/>
    <col min="3" max="3" width="16.5703125" customWidth="1"/>
    <col min="4" max="4" width="18" style="30" hidden="1" customWidth="1"/>
    <col min="5" max="5" width="18.28515625" hidden="1" customWidth="1"/>
    <col min="6" max="6" width="21.42578125" customWidth="1"/>
    <col min="7" max="7" width="20.85546875" customWidth="1"/>
    <col min="8" max="8" width="16" customWidth="1"/>
    <col min="9" max="9" width="18.28515625" hidden="1" customWidth="1"/>
    <col min="10" max="10" width="13.140625" hidden="1" customWidth="1"/>
    <col min="11" max="11" width="17.7109375" customWidth="1"/>
    <col min="12" max="13" width="16" customWidth="1"/>
    <col min="14" max="14" width="19.5703125" customWidth="1"/>
    <col min="15" max="15" width="15.140625" customWidth="1"/>
  </cols>
  <sheetData>
    <row r="1" spans="1:14" ht="39.75" customHeight="1" x14ac:dyDescent="0.25">
      <c r="A1" s="237" t="s">
        <v>115</v>
      </c>
      <c r="B1" s="237"/>
      <c r="C1" s="237"/>
      <c r="D1" s="237"/>
      <c r="E1" s="237"/>
      <c r="F1" s="237"/>
      <c r="G1" s="237"/>
      <c r="H1" s="237"/>
      <c r="I1" s="237"/>
      <c r="J1" s="237"/>
      <c r="K1" s="237"/>
      <c r="L1" s="237"/>
      <c r="M1" s="237"/>
      <c r="N1" s="237"/>
    </row>
    <row r="2" spans="1:14" ht="20.25" customHeight="1" x14ac:dyDescent="0.25">
      <c r="A2" s="238" t="s">
        <v>109</v>
      </c>
      <c r="B2" s="238"/>
      <c r="C2" s="238"/>
      <c r="D2" s="238"/>
      <c r="E2" s="238"/>
      <c r="F2" s="238"/>
      <c r="G2" s="238"/>
      <c r="H2" s="238"/>
      <c r="I2" s="238"/>
      <c r="J2" s="238"/>
      <c r="K2" s="238"/>
      <c r="L2" s="238"/>
      <c r="M2" s="238"/>
      <c r="N2" s="238"/>
    </row>
    <row r="3" spans="1:14" ht="18" x14ac:dyDescent="0.25">
      <c r="A3" s="3"/>
      <c r="B3" s="3"/>
      <c r="C3" s="3"/>
      <c r="D3" s="29"/>
      <c r="E3" s="3"/>
      <c r="F3" s="17"/>
      <c r="G3" s="4"/>
    </row>
    <row r="4" spans="1:14" ht="18" customHeight="1" x14ac:dyDescent="0.25">
      <c r="A4" s="239" t="s">
        <v>19</v>
      </c>
      <c r="B4" s="239"/>
      <c r="C4" s="239"/>
      <c r="D4" s="239"/>
      <c r="E4" s="239"/>
      <c r="F4" s="239"/>
      <c r="G4" s="239"/>
      <c r="H4" s="239"/>
      <c r="I4" s="239"/>
      <c r="J4" s="239"/>
      <c r="K4" s="239"/>
      <c r="L4" s="239"/>
      <c r="M4" s="239"/>
      <c r="N4" s="239"/>
    </row>
    <row r="5" spans="1:14" ht="18" x14ac:dyDescent="0.25">
      <c r="A5" s="3"/>
      <c r="B5" s="3"/>
      <c r="C5" s="3"/>
      <c r="D5" s="29"/>
      <c r="E5" s="3"/>
      <c r="F5" s="17"/>
      <c r="G5" s="4"/>
    </row>
    <row r="6" spans="1:14" s="214" customFormat="1" ht="12.75" customHeight="1" thickBot="1" x14ac:dyDescent="0.3"/>
    <row r="7" spans="1:14" s="214" customFormat="1" ht="41.25" customHeight="1" thickTop="1" x14ac:dyDescent="0.25">
      <c r="B7" s="271" t="s">
        <v>21</v>
      </c>
      <c r="C7" s="272"/>
      <c r="D7" s="273"/>
      <c r="E7" s="217" t="s">
        <v>33</v>
      </c>
      <c r="F7" s="285" t="s">
        <v>198</v>
      </c>
      <c r="G7" s="285"/>
      <c r="H7" s="285"/>
      <c r="I7" s="218"/>
      <c r="J7" s="219"/>
      <c r="K7" s="218" t="s">
        <v>117</v>
      </c>
      <c r="L7" s="219" t="s">
        <v>105</v>
      </c>
      <c r="M7" s="218" t="s">
        <v>107</v>
      </c>
      <c r="N7" s="218" t="s">
        <v>118</v>
      </c>
    </row>
    <row r="8" spans="1:14" s="214" customFormat="1" ht="15" customHeight="1" x14ac:dyDescent="0.25">
      <c r="B8" s="278"/>
      <c r="C8" s="279"/>
      <c r="D8" s="279"/>
      <c r="E8" s="280" t="s">
        <v>145</v>
      </c>
      <c r="F8" s="280"/>
      <c r="G8" s="280"/>
      <c r="H8" s="280"/>
      <c r="I8" s="280"/>
      <c r="J8" s="280"/>
      <c r="K8" s="220">
        <f>1272994.05</f>
        <v>1272994.05</v>
      </c>
      <c r="L8" s="220">
        <f>N8-K8</f>
        <v>59866.159999999916</v>
      </c>
      <c r="M8" s="226">
        <f>L8/K8</f>
        <v>4.7027839603806409E-2</v>
      </c>
      <c r="N8" s="220">
        <v>1332860.21</v>
      </c>
    </row>
    <row r="9" spans="1:14" s="214" customFormat="1" x14ac:dyDescent="0.25">
      <c r="B9" s="274" t="s">
        <v>146</v>
      </c>
      <c r="C9" s="275"/>
      <c r="D9" s="275"/>
      <c r="E9" s="274" t="s">
        <v>61</v>
      </c>
      <c r="F9" s="275"/>
      <c r="G9" s="275"/>
      <c r="H9" s="275"/>
      <c r="I9" s="275"/>
      <c r="J9" s="275"/>
      <c r="K9" s="221">
        <f>K10</f>
        <v>37743.99</v>
      </c>
      <c r="L9" s="221">
        <f>N9-K9</f>
        <v>3000</v>
      </c>
      <c r="M9" s="227">
        <f t="shared" ref="M9:M72" si="0">L9/K9</f>
        <v>7.9482852766758372E-2</v>
      </c>
      <c r="N9" s="221">
        <v>40743.99</v>
      </c>
    </row>
    <row r="10" spans="1:14" s="214" customFormat="1" x14ac:dyDescent="0.25">
      <c r="B10" s="276" t="s">
        <v>147</v>
      </c>
      <c r="C10" s="277"/>
      <c r="D10" s="277"/>
      <c r="E10" s="276" t="s">
        <v>53</v>
      </c>
      <c r="F10" s="277"/>
      <c r="G10" s="277"/>
      <c r="H10" s="277"/>
      <c r="I10" s="277"/>
      <c r="J10" s="277"/>
      <c r="K10" s="222">
        <f>K11</f>
        <v>37743.99</v>
      </c>
      <c r="L10" s="222">
        <f>N10-K10</f>
        <v>3000</v>
      </c>
      <c r="M10" s="229">
        <f t="shared" si="0"/>
        <v>7.9482852766758372E-2</v>
      </c>
      <c r="N10" s="222">
        <v>40743.99</v>
      </c>
    </row>
    <row r="11" spans="1:14" s="214" customFormat="1" x14ac:dyDescent="0.25">
      <c r="B11" s="281" t="s">
        <v>148</v>
      </c>
      <c r="C11" s="282"/>
      <c r="D11" s="282"/>
      <c r="E11" s="281" t="s">
        <v>149</v>
      </c>
      <c r="F11" s="282"/>
      <c r="G11" s="282"/>
      <c r="H11" s="282"/>
      <c r="I11" s="282"/>
      <c r="J11" s="282"/>
      <c r="K11" s="223">
        <v>37743.99</v>
      </c>
      <c r="L11" s="223">
        <f>N11-K11</f>
        <v>3000</v>
      </c>
      <c r="M11" s="231">
        <f t="shared" si="0"/>
        <v>7.9482852766758372E-2</v>
      </c>
      <c r="N11" s="223">
        <v>40743.99</v>
      </c>
    </row>
    <row r="12" spans="1:14" s="214" customFormat="1" x14ac:dyDescent="0.25">
      <c r="B12" s="278" t="s">
        <v>150</v>
      </c>
      <c r="C12" s="279"/>
      <c r="D12" s="279"/>
      <c r="E12" s="278" t="s">
        <v>14</v>
      </c>
      <c r="F12" s="278"/>
      <c r="G12" s="278"/>
      <c r="H12" s="278"/>
      <c r="I12" s="278"/>
      <c r="J12" s="278"/>
      <c r="K12" s="224">
        <v>37743.99</v>
      </c>
      <c r="L12" s="224">
        <f>N12-K12</f>
        <v>3000</v>
      </c>
      <c r="M12" s="230">
        <f t="shared" si="0"/>
        <v>7.9482852766758372E-2</v>
      </c>
      <c r="N12" s="224">
        <v>40743.99</v>
      </c>
    </row>
    <row r="13" spans="1:14" s="214" customFormat="1" x14ac:dyDescent="0.25">
      <c r="B13" s="278" t="s">
        <v>151</v>
      </c>
      <c r="C13" s="279"/>
      <c r="D13" s="279"/>
      <c r="E13" s="278" t="s">
        <v>22</v>
      </c>
      <c r="F13" s="279"/>
      <c r="G13" s="279"/>
      <c r="H13" s="279"/>
      <c r="I13" s="279"/>
      <c r="J13" s="279"/>
      <c r="K13" s="224">
        <v>36898.99</v>
      </c>
      <c r="L13" s="224">
        <f t="shared" ref="L13:L16" si="1">N13-K13</f>
        <v>3369</v>
      </c>
      <c r="M13" s="230">
        <f t="shared" si="0"/>
        <v>9.1303312096076353E-2</v>
      </c>
      <c r="N13" s="224">
        <v>40267.99</v>
      </c>
    </row>
    <row r="14" spans="1:14" s="214" customFormat="1" x14ac:dyDescent="0.25">
      <c r="B14" s="278" t="s">
        <v>152</v>
      </c>
      <c r="C14" s="279"/>
      <c r="D14" s="279"/>
      <c r="E14" s="278" t="s">
        <v>46</v>
      </c>
      <c r="F14" s="279"/>
      <c r="G14" s="279"/>
      <c r="H14" s="279"/>
      <c r="I14" s="279"/>
      <c r="J14" s="279"/>
      <c r="K14" s="224">
        <v>845</v>
      </c>
      <c r="L14" s="224">
        <f t="shared" si="1"/>
        <v>-369</v>
      </c>
      <c r="M14" s="230">
        <f t="shared" si="0"/>
        <v>-0.43668639053254438</v>
      </c>
      <c r="N14" s="224">
        <v>476</v>
      </c>
    </row>
    <row r="15" spans="1:14" s="214" customFormat="1" x14ac:dyDescent="0.25">
      <c r="B15" s="278" t="s">
        <v>153</v>
      </c>
      <c r="C15" s="279"/>
      <c r="D15" s="279"/>
      <c r="E15" s="278" t="s">
        <v>16</v>
      </c>
      <c r="F15" s="279"/>
      <c r="G15" s="279"/>
      <c r="H15" s="279"/>
      <c r="I15" s="279"/>
      <c r="J15" s="279"/>
      <c r="K15" s="224">
        <v>0</v>
      </c>
      <c r="L15" s="224">
        <f t="shared" si="1"/>
        <v>0</v>
      </c>
      <c r="M15" s="230">
        <v>0</v>
      </c>
      <c r="N15" s="224">
        <v>0</v>
      </c>
    </row>
    <row r="16" spans="1:14" s="214" customFormat="1" x14ac:dyDescent="0.25">
      <c r="B16" s="278" t="s">
        <v>154</v>
      </c>
      <c r="C16" s="279"/>
      <c r="D16" s="279"/>
      <c r="E16" s="278" t="s">
        <v>32</v>
      </c>
      <c r="F16" s="279"/>
      <c r="G16" s="279"/>
      <c r="H16" s="279"/>
      <c r="I16" s="279"/>
      <c r="J16" s="279"/>
      <c r="K16" s="224">
        <v>0</v>
      </c>
      <c r="L16" s="224">
        <f t="shared" si="1"/>
        <v>0</v>
      </c>
      <c r="M16" s="230">
        <v>0</v>
      </c>
      <c r="N16" s="224">
        <v>0</v>
      </c>
    </row>
    <row r="17" spans="2:14" s="214" customFormat="1" x14ac:dyDescent="0.25">
      <c r="B17" s="283" t="s">
        <v>155</v>
      </c>
      <c r="C17" s="284"/>
      <c r="D17" s="284"/>
      <c r="E17" s="283" t="s">
        <v>156</v>
      </c>
      <c r="F17" s="284"/>
      <c r="G17" s="284"/>
      <c r="H17" s="284"/>
      <c r="I17" s="284"/>
      <c r="J17" s="284"/>
      <c r="K17" s="225">
        <v>0</v>
      </c>
      <c r="L17" s="225">
        <v>0</v>
      </c>
      <c r="M17" s="228">
        <v>0</v>
      </c>
      <c r="N17" s="225">
        <v>0</v>
      </c>
    </row>
    <row r="18" spans="2:14" s="214" customFormat="1" x14ac:dyDescent="0.25">
      <c r="B18" s="281" t="s">
        <v>148</v>
      </c>
      <c r="C18" s="282"/>
      <c r="D18" s="282"/>
      <c r="E18" s="281" t="s">
        <v>149</v>
      </c>
      <c r="F18" s="282"/>
      <c r="G18" s="282"/>
      <c r="H18" s="282"/>
      <c r="I18" s="282"/>
      <c r="J18" s="282"/>
      <c r="K18" s="223">
        <v>0</v>
      </c>
      <c r="L18" s="223">
        <v>0</v>
      </c>
      <c r="M18" s="231">
        <v>0</v>
      </c>
      <c r="N18" s="223">
        <v>0</v>
      </c>
    </row>
    <row r="19" spans="2:14" s="214" customFormat="1" x14ac:dyDescent="0.25">
      <c r="B19" s="278" t="s">
        <v>150</v>
      </c>
      <c r="C19" s="279"/>
      <c r="D19" s="279"/>
      <c r="E19" s="278" t="s">
        <v>14</v>
      </c>
      <c r="F19" s="279"/>
      <c r="G19" s="279"/>
      <c r="H19" s="279"/>
      <c r="I19" s="279"/>
      <c r="J19" s="279"/>
      <c r="K19" s="224">
        <v>0</v>
      </c>
      <c r="L19" s="224">
        <v>0</v>
      </c>
      <c r="M19" s="230">
        <v>0</v>
      </c>
      <c r="N19" s="224">
        <v>0</v>
      </c>
    </row>
    <row r="20" spans="2:14" s="214" customFormat="1" x14ac:dyDescent="0.25">
      <c r="B20" s="278" t="s">
        <v>151</v>
      </c>
      <c r="C20" s="279"/>
      <c r="D20" s="279"/>
      <c r="E20" s="278" t="s">
        <v>22</v>
      </c>
      <c r="F20" s="279"/>
      <c r="G20" s="279"/>
      <c r="H20" s="279"/>
      <c r="I20" s="279"/>
      <c r="J20" s="279"/>
      <c r="K20" s="224">
        <v>0</v>
      </c>
      <c r="L20" s="224">
        <v>0</v>
      </c>
      <c r="M20" s="230">
        <v>0</v>
      </c>
      <c r="N20" s="224">
        <v>0</v>
      </c>
    </row>
    <row r="21" spans="2:14" s="214" customFormat="1" x14ac:dyDescent="0.25">
      <c r="B21" s="278" t="s">
        <v>153</v>
      </c>
      <c r="C21" s="279"/>
      <c r="D21" s="279"/>
      <c r="E21" s="278" t="s">
        <v>16</v>
      </c>
      <c r="F21" s="279"/>
      <c r="G21" s="279"/>
      <c r="H21" s="279"/>
      <c r="I21" s="279"/>
      <c r="J21" s="279"/>
      <c r="K21" s="224">
        <v>0</v>
      </c>
      <c r="L21" s="224">
        <v>0</v>
      </c>
      <c r="M21" s="230">
        <v>0</v>
      </c>
      <c r="N21" s="224">
        <v>0</v>
      </c>
    </row>
    <row r="22" spans="2:14" s="214" customFormat="1" x14ac:dyDescent="0.25">
      <c r="B22" s="278" t="s">
        <v>154</v>
      </c>
      <c r="C22" s="279"/>
      <c r="D22" s="279"/>
      <c r="E22" s="278" t="s">
        <v>32</v>
      </c>
      <c r="F22" s="279"/>
      <c r="G22" s="279"/>
      <c r="H22" s="279"/>
      <c r="I22" s="279"/>
      <c r="J22" s="279"/>
      <c r="K22" s="224">
        <v>0</v>
      </c>
      <c r="L22" s="224">
        <v>0</v>
      </c>
      <c r="M22" s="230">
        <v>0</v>
      </c>
      <c r="N22" s="224">
        <v>0</v>
      </c>
    </row>
    <row r="23" spans="2:14" s="214" customFormat="1" x14ac:dyDescent="0.25">
      <c r="B23" s="278" t="s">
        <v>157</v>
      </c>
      <c r="C23" s="279"/>
      <c r="D23" s="279"/>
      <c r="E23" s="278" t="s">
        <v>88</v>
      </c>
      <c r="F23" s="279"/>
      <c r="G23" s="279"/>
      <c r="H23" s="279"/>
      <c r="I23" s="279"/>
      <c r="J23" s="279"/>
      <c r="K23" s="224">
        <v>0</v>
      </c>
      <c r="L23" s="224">
        <v>0</v>
      </c>
      <c r="M23" s="230">
        <v>0</v>
      </c>
      <c r="N23" s="224">
        <v>0</v>
      </c>
    </row>
    <row r="24" spans="2:14" s="214" customFormat="1" x14ac:dyDescent="0.25">
      <c r="B24" s="283" t="s">
        <v>158</v>
      </c>
      <c r="C24" s="284"/>
      <c r="D24" s="284"/>
      <c r="E24" s="283" t="s">
        <v>159</v>
      </c>
      <c r="F24" s="284"/>
      <c r="G24" s="284"/>
      <c r="H24" s="284"/>
      <c r="I24" s="284"/>
      <c r="J24" s="284"/>
      <c r="K24" s="225">
        <v>0</v>
      </c>
      <c r="L24" s="225">
        <v>0</v>
      </c>
      <c r="M24" s="228">
        <v>0</v>
      </c>
      <c r="N24" s="225">
        <v>0</v>
      </c>
    </row>
    <row r="25" spans="2:14" s="214" customFormat="1" x14ac:dyDescent="0.25">
      <c r="B25" s="281" t="s">
        <v>148</v>
      </c>
      <c r="C25" s="282"/>
      <c r="D25" s="282"/>
      <c r="E25" s="281" t="s">
        <v>149</v>
      </c>
      <c r="F25" s="282"/>
      <c r="G25" s="282"/>
      <c r="H25" s="282"/>
      <c r="I25" s="282"/>
      <c r="J25" s="282"/>
      <c r="K25" s="223">
        <v>0</v>
      </c>
      <c r="L25" s="223">
        <v>0</v>
      </c>
      <c r="M25" s="231">
        <v>0</v>
      </c>
      <c r="N25" s="223">
        <v>0</v>
      </c>
    </row>
    <row r="26" spans="2:14" s="214" customFormat="1" x14ac:dyDescent="0.25">
      <c r="B26" s="278" t="s">
        <v>153</v>
      </c>
      <c r="C26" s="279"/>
      <c r="D26" s="279"/>
      <c r="E26" s="278" t="s">
        <v>16</v>
      </c>
      <c r="F26" s="279"/>
      <c r="G26" s="279"/>
      <c r="H26" s="279"/>
      <c r="I26" s="279"/>
      <c r="J26" s="279"/>
      <c r="K26" s="224">
        <v>0</v>
      </c>
      <c r="L26" s="224">
        <v>0</v>
      </c>
      <c r="M26" s="230">
        <v>0</v>
      </c>
      <c r="N26" s="224">
        <v>0</v>
      </c>
    </row>
    <row r="27" spans="2:14" s="214" customFormat="1" x14ac:dyDescent="0.25">
      <c r="B27" s="278" t="s">
        <v>154</v>
      </c>
      <c r="C27" s="279"/>
      <c r="D27" s="279"/>
      <c r="E27" s="278" t="s">
        <v>32</v>
      </c>
      <c r="F27" s="279"/>
      <c r="G27" s="279"/>
      <c r="H27" s="279"/>
      <c r="I27" s="279"/>
      <c r="J27" s="279"/>
      <c r="K27" s="224">
        <v>0</v>
      </c>
      <c r="L27" s="224">
        <v>0</v>
      </c>
      <c r="M27" s="230">
        <v>0</v>
      </c>
      <c r="N27" s="224">
        <v>0</v>
      </c>
    </row>
    <row r="28" spans="2:14" s="214" customFormat="1" x14ac:dyDescent="0.25">
      <c r="B28" s="274" t="s">
        <v>160</v>
      </c>
      <c r="C28" s="275"/>
      <c r="D28" s="275"/>
      <c r="E28" s="274" t="s">
        <v>89</v>
      </c>
      <c r="F28" s="275"/>
      <c r="G28" s="275"/>
      <c r="H28" s="275"/>
      <c r="I28" s="275"/>
      <c r="J28" s="275"/>
      <c r="K28" s="221">
        <f>K29+K35</f>
        <v>1205551.9400000002</v>
      </c>
      <c r="L28" s="221">
        <f t="shared" ref="L28:L37" si="2">N28-K28</f>
        <v>41564.279999999795</v>
      </c>
      <c r="M28" s="227">
        <f t="shared" si="0"/>
        <v>3.447738634969124E-2</v>
      </c>
      <c r="N28" s="221">
        <v>1247116.22</v>
      </c>
    </row>
    <row r="29" spans="2:14" s="214" customFormat="1" x14ac:dyDescent="0.25">
      <c r="B29" s="283" t="s">
        <v>161</v>
      </c>
      <c r="C29" s="284"/>
      <c r="D29" s="284"/>
      <c r="E29" s="283" t="s">
        <v>162</v>
      </c>
      <c r="F29" s="284"/>
      <c r="G29" s="284"/>
      <c r="H29" s="284"/>
      <c r="I29" s="284"/>
      <c r="J29" s="284"/>
      <c r="K29" s="225">
        <v>3102.5</v>
      </c>
      <c r="L29" s="225">
        <f t="shared" si="2"/>
        <v>-260</v>
      </c>
      <c r="M29" s="228">
        <f t="shared" si="0"/>
        <v>-8.380338436744561E-2</v>
      </c>
      <c r="N29" s="225">
        <v>2842.5</v>
      </c>
    </row>
    <row r="30" spans="2:14" s="214" customFormat="1" x14ac:dyDescent="0.25">
      <c r="B30" s="281" t="s">
        <v>163</v>
      </c>
      <c r="C30" s="282"/>
      <c r="D30" s="282"/>
      <c r="E30" s="281" t="s">
        <v>164</v>
      </c>
      <c r="F30" s="282"/>
      <c r="G30" s="282"/>
      <c r="H30" s="282"/>
      <c r="I30" s="282"/>
      <c r="J30" s="282"/>
      <c r="K30" s="223">
        <v>3102.5</v>
      </c>
      <c r="L30" s="223">
        <f t="shared" si="2"/>
        <v>-260</v>
      </c>
      <c r="M30" s="231">
        <f t="shared" si="0"/>
        <v>-8.380338436744561E-2</v>
      </c>
      <c r="N30" s="223">
        <v>2842.5</v>
      </c>
    </row>
    <row r="31" spans="2:14" s="214" customFormat="1" x14ac:dyDescent="0.25">
      <c r="B31" s="278" t="s">
        <v>150</v>
      </c>
      <c r="C31" s="279"/>
      <c r="D31" s="279"/>
      <c r="E31" s="278" t="s">
        <v>14</v>
      </c>
      <c r="F31" s="279"/>
      <c r="G31" s="279"/>
      <c r="H31" s="279"/>
      <c r="I31" s="279"/>
      <c r="J31" s="279"/>
      <c r="K31" s="224">
        <v>3102.5</v>
      </c>
      <c r="L31" s="224">
        <f t="shared" si="2"/>
        <v>-260</v>
      </c>
      <c r="M31" s="230">
        <f t="shared" si="0"/>
        <v>-8.380338436744561E-2</v>
      </c>
      <c r="N31" s="224">
        <v>2842.5</v>
      </c>
    </row>
    <row r="32" spans="2:14" s="214" customFormat="1" x14ac:dyDescent="0.25">
      <c r="B32" s="278" t="s">
        <v>165</v>
      </c>
      <c r="C32" s="279"/>
      <c r="D32" s="279"/>
      <c r="E32" s="278" t="s">
        <v>15</v>
      </c>
      <c r="F32" s="279"/>
      <c r="G32" s="279"/>
      <c r="H32" s="279"/>
      <c r="I32" s="279"/>
      <c r="J32" s="279"/>
      <c r="K32" s="224">
        <v>0</v>
      </c>
      <c r="L32" s="224">
        <f t="shared" si="2"/>
        <v>200</v>
      </c>
      <c r="M32" s="230">
        <v>0</v>
      </c>
      <c r="N32" s="224">
        <v>200</v>
      </c>
    </row>
    <row r="33" spans="2:14" s="214" customFormat="1" x14ac:dyDescent="0.25">
      <c r="B33" s="278" t="s">
        <v>151</v>
      </c>
      <c r="C33" s="279"/>
      <c r="D33" s="279"/>
      <c r="E33" s="278" t="s">
        <v>22</v>
      </c>
      <c r="F33" s="279"/>
      <c r="G33" s="279"/>
      <c r="H33" s="279"/>
      <c r="I33" s="279"/>
      <c r="J33" s="279"/>
      <c r="K33" s="224">
        <v>1212.5</v>
      </c>
      <c r="L33" s="224">
        <f t="shared" si="2"/>
        <v>0</v>
      </c>
      <c r="M33" s="230">
        <f t="shared" si="0"/>
        <v>0</v>
      </c>
      <c r="N33" s="224">
        <v>1212.5</v>
      </c>
    </row>
    <row r="34" spans="2:14" s="214" customFormat="1" x14ac:dyDescent="0.25">
      <c r="B34" s="278" t="s">
        <v>166</v>
      </c>
      <c r="C34" s="279"/>
      <c r="D34" s="279"/>
      <c r="E34" s="278" t="s">
        <v>167</v>
      </c>
      <c r="F34" s="279"/>
      <c r="G34" s="279"/>
      <c r="H34" s="279"/>
      <c r="I34" s="279"/>
      <c r="J34" s="279"/>
      <c r="K34" s="224">
        <v>1890</v>
      </c>
      <c r="L34" s="224">
        <f t="shared" si="2"/>
        <v>-460</v>
      </c>
      <c r="M34" s="230">
        <f t="shared" si="0"/>
        <v>-0.24338624338624337</v>
      </c>
      <c r="N34" s="224">
        <v>1430</v>
      </c>
    </row>
    <row r="35" spans="2:14" s="214" customFormat="1" x14ac:dyDescent="0.25">
      <c r="B35" s="283" t="s">
        <v>168</v>
      </c>
      <c r="C35" s="284"/>
      <c r="D35" s="284"/>
      <c r="E35" s="283" t="s">
        <v>62</v>
      </c>
      <c r="F35" s="284"/>
      <c r="G35" s="284"/>
      <c r="H35" s="284"/>
      <c r="I35" s="284"/>
      <c r="J35" s="284"/>
      <c r="K35" s="225">
        <f>K36+K42+K47+K56+K62+K67+K71+K76</f>
        <v>1202449.4400000002</v>
      </c>
      <c r="L35" s="225">
        <f t="shared" si="2"/>
        <v>14476.449999999721</v>
      </c>
      <c r="M35" s="228">
        <f t="shared" si="0"/>
        <v>1.2039134052904311E-2</v>
      </c>
      <c r="N35" s="225">
        <v>1216925.8899999999</v>
      </c>
    </row>
    <row r="36" spans="2:14" s="214" customFormat="1" x14ac:dyDescent="0.25">
      <c r="B36" s="281" t="s">
        <v>169</v>
      </c>
      <c r="C36" s="282"/>
      <c r="D36" s="282"/>
      <c r="E36" s="281" t="s">
        <v>170</v>
      </c>
      <c r="F36" s="282"/>
      <c r="G36" s="282"/>
      <c r="H36" s="282"/>
      <c r="I36" s="282"/>
      <c r="J36" s="282"/>
      <c r="K36" s="223">
        <v>84</v>
      </c>
      <c r="L36" s="223">
        <f t="shared" si="2"/>
        <v>-41</v>
      </c>
      <c r="M36" s="231">
        <f t="shared" si="0"/>
        <v>-0.48809523809523808</v>
      </c>
      <c r="N36" s="223">
        <v>43</v>
      </c>
    </row>
    <row r="37" spans="2:14" s="214" customFormat="1" x14ac:dyDescent="0.25">
      <c r="B37" s="278" t="s">
        <v>150</v>
      </c>
      <c r="C37" s="279"/>
      <c r="D37" s="279"/>
      <c r="E37" s="278" t="s">
        <v>14</v>
      </c>
      <c r="F37" s="279"/>
      <c r="G37" s="279"/>
      <c r="H37" s="279"/>
      <c r="I37" s="279"/>
      <c r="J37" s="279"/>
      <c r="K37" s="224">
        <v>84</v>
      </c>
      <c r="L37" s="224">
        <f t="shared" si="2"/>
        <v>-41</v>
      </c>
      <c r="M37" s="230">
        <f t="shared" si="0"/>
        <v>-0.48809523809523808</v>
      </c>
      <c r="N37" s="224">
        <v>43</v>
      </c>
    </row>
    <row r="38" spans="2:14" s="214" customFormat="1" x14ac:dyDescent="0.25">
      <c r="B38" s="278" t="s">
        <v>151</v>
      </c>
      <c r="C38" s="279"/>
      <c r="D38" s="279"/>
      <c r="E38" s="278" t="s">
        <v>22</v>
      </c>
      <c r="F38" s="279"/>
      <c r="G38" s="279"/>
      <c r="H38" s="279"/>
      <c r="I38" s="279"/>
      <c r="J38" s="279"/>
      <c r="K38" s="224">
        <v>84</v>
      </c>
      <c r="L38" s="224">
        <f t="shared" ref="L38:L41" si="3">N38-K38</f>
        <v>-41</v>
      </c>
      <c r="M38" s="230">
        <f t="shared" si="0"/>
        <v>-0.48809523809523808</v>
      </c>
      <c r="N38" s="224">
        <v>43</v>
      </c>
    </row>
    <row r="39" spans="2:14" s="214" customFormat="1" x14ac:dyDescent="0.25">
      <c r="B39" s="278" t="s">
        <v>152</v>
      </c>
      <c r="C39" s="279"/>
      <c r="D39" s="279"/>
      <c r="E39" s="278" t="s">
        <v>46</v>
      </c>
      <c r="F39" s="279"/>
      <c r="G39" s="279"/>
      <c r="H39" s="279"/>
      <c r="I39" s="279"/>
      <c r="J39" s="279"/>
      <c r="K39" s="224">
        <v>0</v>
      </c>
      <c r="L39" s="224">
        <f t="shared" si="3"/>
        <v>0</v>
      </c>
      <c r="M39" s="230">
        <v>0</v>
      </c>
      <c r="N39" s="224">
        <v>0</v>
      </c>
    </row>
    <row r="40" spans="2:14" s="214" customFormat="1" x14ac:dyDescent="0.25">
      <c r="B40" s="278" t="s">
        <v>153</v>
      </c>
      <c r="C40" s="279"/>
      <c r="D40" s="279"/>
      <c r="E40" s="278" t="s">
        <v>16</v>
      </c>
      <c r="F40" s="279"/>
      <c r="G40" s="279"/>
      <c r="H40" s="279"/>
      <c r="I40" s="279"/>
      <c r="J40" s="279"/>
      <c r="K40" s="224">
        <v>0</v>
      </c>
      <c r="L40" s="224">
        <f t="shared" si="3"/>
        <v>0</v>
      </c>
      <c r="M40" s="230">
        <v>0</v>
      </c>
      <c r="N40" s="224">
        <v>0</v>
      </c>
    </row>
    <row r="41" spans="2:14" s="214" customFormat="1" x14ac:dyDescent="0.25">
      <c r="B41" s="278" t="s">
        <v>154</v>
      </c>
      <c r="C41" s="279"/>
      <c r="D41" s="279"/>
      <c r="E41" s="278" t="s">
        <v>32</v>
      </c>
      <c r="F41" s="279"/>
      <c r="G41" s="279"/>
      <c r="H41" s="279"/>
      <c r="I41" s="279"/>
      <c r="J41" s="279"/>
      <c r="K41" s="224">
        <v>0</v>
      </c>
      <c r="L41" s="224">
        <f t="shared" si="3"/>
        <v>0</v>
      </c>
      <c r="M41" s="230">
        <v>0</v>
      </c>
      <c r="N41" s="224">
        <v>0</v>
      </c>
    </row>
    <row r="42" spans="2:14" s="214" customFormat="1" x14ac:dyDescent="0.25">
      <c r="B42" s="281" t="s">
        <v>171</v>
      </c>
      <c r="C42" s="282"/>
      <c r="D42" s="282"/>
      <c r="E42" s="281" t="s">
        <v>172</v>
      </c>
      <c r="F42" s="282"/>
      <c r="G42" s="282"/>
      <c r="H42" s="282"/>
      <c r="I42" s="282"/>
      <c r="J42" s="282"/>
      <c r="K42" s="223">
        <v>15075.45</v>
      </c>
      <c r="L42" s="223">
        <f>N42-K42</f>
        <v>-4093.880000000001</v>
      </c>
      <c r="M42" s="231">
        <f t="shared" si="0"/>
        <v>-0.27155938960362713</v>
      </c>
      <c r="N42" s="223">
        <v>10981.57</v>
      </c>
    </row>
    <row r="43" spans="2:14" s="214" customFormat="1" x14ac:dyDescent="0.25">
      <c r="B43" s="278" t="s">
        <v>150</v>
      </c>
      <c r="C43" s="279"/>
      <c r="D43" s="279"/>
      <c r="E43" s="278" t="s">
        <v>14</v>
      </c>
      <c r="F43" s="279"/>
      <c r="G43" s="279"/>
      <c r="H43" s="279"/>
      <c r="I43" s="279"/>
      <c r="J43" s="279"/>
      <c r="K43" s="224">
        <v>13250</v>
      </c>
      <c r="L43" s="224">
        <f>N43-K43</f>
        <v>-4268.43</v>
      </c>
      <c r="M43" s="230">
        <f t="shared" si="0"/>
        <v>-0.32214566037735853</v>
      </c>
      <c r="N43" s="224">
        <v>8981.57</v>
      </c>
    </row>
    <row r="44" spans="2:14" s="214" customFormat="1" x14ac:dyDescent="0.25">
      <c r="B44" s="278" t="s">
        <v>151</v>
      </c>
      <c r="C44" s="279"/>
      <c r="D44" s="279"/>
      <c r="E44" s="278" t="s">
        <v>22</v>
      </c>
      <c r="F44" s="279"/>
      <c r="G44" s="279"/>
      <c r="H44" s="279"/>
      <c r="I44" s="279"/>
      <c r="J44" s="279"/>
      <c r="K44" s="224">
        <v>13250</v>
      </c>
      <c r="L44" s="224">
        <f t="shared" ref="L44:L77" si="4">N44-K44</f>
        <v>-4268.43</v>
      </c>
      <c r="M44" s="230">
        <f t="shared" si="0"/>
        <v>-0.32214566037735853</v>
      </c>
      <c r="N44" s="224">
        <v>8981.57</v>
      </c>
    </row>
    <row r="45" spans="2:14" s="214" customFormat="1" x14ac:dyDescent="0.25">
      <c r="B45" s="278" t="s">
        <v>153</v>
      </c>
      <c r="C45" s="279"/>
      <c r="D45" s="279"/>
      <c r="E45" s="278" t="s">
        <v>16</v>
      </c>
      <c r="F45" s="279"/>
      <c r="G45" s="279"/>
      <c r="H45" s="279"/>
      <c r="I45" s="279"/>
      <c r="J45" s="279"/>
      <c r="K45" s="224">
        <v>1825.45</v>
      </c>
      <c r="L45" s="224">
        <f t="shared" si="4"/>
        <v>174.54999999999995</v>
      </c>
      <c r="M45" s="230">
        <f t="shared" si="0"/>
        <v>9.5620258018570742E-2</v>
      </c>
      <c r="N45" s="224">
        <v>2000</v>
      </c>
    </row>
    <row r="46" spans="2:14" s="214" customFormat="1" x14ac:dyDescent="0.25">
      <c r="B46" s="278" t="s">
        <v>154</v>
      </c>
      <c r="C46" s="279"/>
      <c r="D46" s="279"/>
      <c r="E46" s="278" t="s">
        <v>32</v>
      </c>
      <c r="F46" s="279"/>
      <c r="G46" s="279"/>
      <c r="H46" s="279"/>
      <c r="I46" s="279"/>
      <c r="J46" s="279"/>
      <c r="K46" s="224">
        <v>1825.45</v>
      </c>
      <c r="L46" s="224">
        <f t="shared" si="4"/>
        <v>174.54999999999995</v>
      </c>
      <c r="M46" s="230">
        <f t="shared" si="0"/>
        <v>9.5620258018570742E-2</v>
      </c>
      <c r="N46" s="224">
        <v>2000</v>
      </c>
    </row>
    <row r="47" spans="2:14" s="214" customFormat="1" x14ac:dyDescent="0.25">
      <c r="B47" s="281" t="s">
        <v>173</v>
      </c>
      <c r="C47" s="282"/>
      <c r="D47" s="282"/>
      <c r="E47" s="281" t="s">
        <v>174</v>
      </c>
      <c r="F47" s="282"/>
      <c r="G47" s="282"/>
      <c r="H47" s="282"/>
      <c r="I47" s="282"/>
      <c r="J47" s="282"/>
      <c r="K47" s="223">
        <v>1062538.33</v>
      </c>
      <c r="L47" s="223">
        <f t="shared" si="4"/>
        <v>19051.669999999925</v>
      </c>
      <c r="M47" s="231">
        <f t="shared" si="0"/>
        <v>1.7930336687242074E-2</v>
      </c>
      <c r="N47" s="223">
        <v>1081590</v>
      </c>
    </row>
    <row r="48" spans="2:14" s="214" customFormat="1" x14ac:dyDescent="0.25">
      <c r="B48" s="278" t="s">
        <v>150</v>
      </c>
      <c r="C48" s="279"/>
      <c r="D48" s="279"/>
      <c r="E48" s="278" t="s">
        <v>14</v>
      </c>
      <c r="F48" s="279"/>
      <c r="G48" s="279"/>
      <c r="H48" s="279"/>
      <c r="I48" s="279"/>
      <c r="J48" s="279"/>
      <c r="K48" s="224">
        <v>1060538.33</v>
      </c>
      <c r="L48" s="224">
        <f t="shared" si="4"/>
        <v>20601.669999999925</v>
      </c>
      <c r="M48" s="230">
        <f t="shared" si="0"/>
        <v>1.9425672243265291E-2</v>
      </c>
      <c r="N48" s="224">
        <v>1081140</v>
      </c>
    </row>
    <row r="49" spans="2:14" s="214" customFormat="1" x14ac:dyDescent="0.25">
      <c r="B49" s="278" t="s">
        <v>165</v>
      </c>
      <c r="C49" s="279"/>
      <c r="D49" s="279"/>
      <c r="E49" s="278" t="s">
        <v>15</v>
      </c>
      <c r="F49" s="279"/>
      <c r="G49" s="279"/>
      <c r="H49" s="279"/>
      <c r="I49" s="279"/>
      <c r="J49" s="279"/>
      <c r="K49" s="224">
        <v>963940</v>
      </c>
      <c r="L49" s="224">
        <f t="shared" si="4"/>
        <v>20815</v>
      </c>
      <c r="M49" s="230">
        <f t="shared" si="0"/>
        <v>2.1593667655663215E-2</v>
      </c>
      <c r="N49" s="224">
        <v>984755</v>
      </c>
    </row>
    <row r="50" spans="2:14" s="214" customFormat="1" x14ac:dyDescent="0.25">
      <c r="B50" s="278" t="s">
        <v>151</v>
      </c>
      <c r="C50" s="279"/>
      <c r="D50" s="279"/>
      <c r="E50" s="278" t="s">
        <v>22</v>
      </c>
      <c r="F50" s="279"/>
      <c r="G50" s="279"/>
      <c r="H50" s="279"/>
      <c r="I50" s="279"/>
      <c r="J50" s="279"/>
      <c r="K50" s="224">
        <v>84068.33</v>
      </c>
      <c r="L50" s="224">
        <f t="shared" si="4"/>
        <v>1587.6699999999983</v>
      </c>
      <c r="M50" s="230">
        <f t="shared" si="0"/>
        <v>1.8885470902062624E-2</v>
      </c>
      <c r="N50" s="224">
        <v>85656</v>
      </c>
    </row>
    <row r="51" spans="2:14" s="214" customFormat="1" x14ac:dyDescent="0.25">
      <c r="B51" s="278" t="s">
        <v>152</v>
      </c>
      <c r="C51" s="279"/>
      <c r="D51" s="279"/>
      <c r="E51" s="278" t="s">
        <v>46</v>
      </c>
      <c r="F51" s="279"/>
      <c r="G51" s="279"/>
      <c r="H51" s="279"/>
      <c r="I51" s="279"/>
      <c r="J51" s="279"/>
      <c r="K51" s="224">
        <v>130</v>
      </c>
      <c r="L51" s="224">
        <f t="shared" si="4"/>
        <v>-130</v>
      </c>
      <c r="M51" s="230">
        <f t="shared" si="0"/>
        <v>-1</v>
      </c>
      <c r="N51" s="224">
        <v>0</v>
      </c>
    </row>
    <row r="52" spans="2:14" s="214" customFormat="1" x14ac:dyDescent="0.25">
      <c r="B52" s="278" t="s">
        <v>166</v>
      </c>
      <c r="C52" s="279"/>
      <c r="D52" s="279"/>
      <c r="E52" s="278" t="s">
        <v>167</v>
      </c>
      <c r="F52" s="279"/>
      <c r="G52" s="279"/>
      <c r="H52" s="279"/>
      <c r="I52" s="279"/>
      <c r="J52" s="279"/>
      <c r="K52" s="224">
        <v>12000</v>
      </c>
      <c r="L52" s="224">
        <f t="shared" si="4"/>
        <v>-1640</v>
      </c>
      <c r="M52" s="230">
        <f t="shared" si="0"/>
        <v>-0.13666666666666666</v>
      </c>
      <c r="N52" s="224">
        <v>10360</v>
      </c>
    </row>
    <row r="53" spans="2:14" s="214" customFormat="1" x14ac:dyDescent="0.25">
      <c r="B53" s="278" t="s">
        <v>175</v>
      </c>
      <c r="C53" s="279"/>
      <c r="D53" s="279"/>
      <c r="E53" s="278" t="s">
        <v>176</v>
      </c>
      <c r="F53" s="279"/>
      <c r="G53" s="279"/>
      <c r="H53" s="279"/>
      <c r="I53" s="279"/>
      <c r="J53" s="279"/>
      <c r="K53" s="224">
        <v>400</v>
      </c>
      <c r="L53" s="224">
        <f t="shared" si="4"/>
        <v>-31</v>
      </c>
      <c r="M53" s="230">
        <f t="shared" si="0"/>
        <v>-7.7499999999999999E-2</v>
      </c>
      <c r="N53" s="224">
        <v>369</v>
      </c>
    </row>
    <row r="54" spans="2:14" s="214" customFormat="1" x14ac:dyDescent="0.25">
      <c r="B54" s="278" t="s">
        <v>153</v>
      </c>
      <c r="C54" s="279"/>
      <c r="D54" s="279"/>
      <c r="E54" s="278" t="s">
        <v>16</v>
      </c>
      <c r="F54" s="279"/>
      <c r="G54" s="279"/>
      <c r="H54" s="279"/>
      <c r="I54" s="279"/>
      <c r="J54" s="279"/>
      <c r="K54" s="224">
        <v>200</v>
      </c>
      <c r="L54" s="224">
        <f t="shared" si="4"/>
        <v>250</v>
      </c>
      <c r="M54" s="230">
        <f t="shared" si="0"/>
        <v>1.25</v>
      </c>
      <c r="N54" s="224">
        <v>450</v>
      </c>
    </row>
    <row r="55" spans="2:14" s="214" customFormat="1" x14ac:dyDescent="0.25">
      <c r="B55" s="278" t="s">
        <v>154</v>
      </c>
      <c r="C55" s="279"/>
      <c r="D55" s="279"/>
      <c r="E55" s="278" t="s">
        <v>32</v>
      </c>
      <c r="F55" s="279"/>
      <c r="G55" s="279"/>
      <c r="H55" s="279"/>
      <c r="I55" s="279"/>
      <c r="J55" s="279"/>
      <c r="K55" s="224">
        <v>200</v>
      </c>
      <c r="L55" s="224">
        <f t="shared" si="4"/>
        <v>250</v>
      </c>
      <c r="M55" s="230">
        <f t="shared" si="0"/>
        <v>1.25</v>
      </c>
      <c r="N55" s="224">
        <v>450</v>
      </c>
    </row>
    <row r="56" spans="2:14" s="214" customFormat="1" x14ac:dyDescent="0.25">
      <c r="B56" s="281" t="s">
        <v>177</v>
      </c>
      <c r="C56" s="282"/>
      <c r="D56" s="282"/>
      <c r="E56" s="281" t="s">
        <v>63</v>
      </c>
      <c r="F56" s="282"/>
      <c r="G56" s="282"/>
      <c r="H56" s="282"/>
      <c r="I56" s="282"/>
      <c r="J56" s="282"/>
      <c r="K56" s="223">
        <v>1495.34</v>
      </c>
      <c r="L56" s="223">
        <f t="shared" si="4"/>
        <v>-240.33999999999992</v>
      </c>
      <c r="M56" s="226">
        <f t="shared" si="0"/>
        <v>-0.16072598873834709</v>
      </c>
      <c r="N56" s="223">
        <v>1255</v>
      </c>
    </row>
    <row r="57" spans="2:14" s="214" customFormat="1" x14ac:dyDescent="0.25">
      <c r="B57" s="278" t="s">
        <v>150</v>
      </c>
      <c r="C57" s="279"/>
      <c r="D57" s="279"/>
      <c r="E57" s="278" t="s">
        <v>14</v>
      </c>
      <c r="F57" s="279"/>
      <c r="G57" s="279"/>
      <c r="H57" s="279"/>
      <c r="I57" s="279"/>
      <c r="J57" s="279"/>
      <c r="K57" s="224">
        <v>1495.34</v>
      </c>
      <c r="L57" s="224">
        <f t="shared" si="4"/>
        <v>-240.33999999999992</v>
      </c>
      <c r="M57" s="230">
        <f t="shared" si="0"/>
        <v>-0.16072598873834709</v>
      </c>
      <c r="N57" s="224">
        <v>1255</v>
      </c>
    </row>
    <row r="58" spans="2:14" s="214" customFormat="1" x14ac:dyDescent="0.25">
      <c r="B58" s="278" t="s">
        <v>165</v>
      </c>
      <c r="C58" s="279"/>
      <c r="D58" s="279"/>
      <c r="E58" s="278" t="s">
        <v>15</v>
      </c>
      <c r="F58" s="279"/>
      <c r="G58" s="279"/>
      <c r="H58" s="279"/>
      <c r="I58" s="279"/>
      <c r="J58" s="279"/>
      <c r="K58" s="224">
        <v>0</v>
      </c>
      <c r="L58" s="224">
        <f t="shared" si="4"/>
        <v>0</v>
      </c>
      <c r="M58" s="230">
        <v>0</v>
      </c>
      <c r="N58" s="224">
        <v>0</v>
      </c>
    </row>
    <row r="59" spans="2:14" s="214" customFormat="1" x14ac:dyDescent="0.25">
      <c r="B59" s="278" t="s">
        <v>151</v>
      </c>
      <c r="C59" s="279"/>
      <c r="D59" s="279"/>
      <c r="E59" s="278" t="s">
        <v>22</v>
      </c>
      <c r="F59" s="279"/>
      <c r="G59" s="279"/>
      <c r="H59" s="279"/>
      <c r="I59" s="279"/>
      <c r="J59" s="279"/>
      <c r="K59" s="224">
        <v>1495.34</v>
      </c>
      <c r="L59" s="224">
        <f t="shared" si="4"/>
        <v>-240.33999999999992</v>
      </c>
      <c r="M59" s="230">
        <f t="shared" si="0"/>
        <v>-0.16072598873834709</v>
      </c>
      <c r="N59" s="224">
        <v>1255</v>
      </c>
    </row>
    <row r="60" spans="2:14" s="214" customFormat="1" x14ac:dyDescent="0.25">
      <c r="B60" s="278" t="s">
        <v>153</v>
      </c>
      <c r="C60" s="279"/>
      <c r="D60" s="279"/>
      <c r="E60" s="278" t="s">
        <v>16</v>
      </c>
      <c r="F60" s="279"/>
      <c r="G60" s="279"/>
      <c r="H60" s="279"/>
      <c r="I60" s="279"/>
      <c r="J60" s="279"/>
      <c r="K60" s="224">
        <v>0</v>
      </c>
      <c r="L60" s="224">
        <f t="shared" si="4"/>
        <v>0</v>
      </c>
      <c r="M60" s="230">
        <v>0</v>
      </c>
      <c r="N60" s="224">
        <v>0</v>
      </c>
    </row>
    <row r="61" spans="2:14" s="214" customFormat="1" x14ac:dyDescent="0.25">
      <c r="B61" s="278" t="s">
        <v>154</v>
      </c>
      <c r="C61" s="279"/>
      <c r="D61" s="279"/>
      <c r="E61" s="278" t="s">
        <v>32</v>
      </c>
      <c r="F61" s="279"/>
      <c r="G61" s="279"/>
      <c r="H61" s="279"/>
      <c r="I61" s="279"/>
      <c r="J61" s="279"/>
      <c r="K61" s="224">
        <v>0</v>
      </c>
      <c r="L61" s="224">
        <f t="shared" si="4"/>
        <v>0</v>
      </c>
      <c r="M61" s="230">
        <v>0</v>
      </c>
      <c r="N61" s="224">
        <v>0</v>
      </c>
    </row>
    <row r="62" spans="2:14" s="214" customFormat="1" x14ac:dyDescent="0.25">
      <c r="B62" s="281" t="s">
        <v>178</v>
      </c>
      <c r="C62" s="282"/>
      <c r="D62" s="282"/>
      <c r="E62" s="281" t="s">
        <v>179</v>
      </c>
      <c r="F62" s="282"/>
      <c r="G62" s="282"/>
      <c r="H62" s="282"/>
      <c r="I62" s="282"/>
      <c r="J62" s="282"/>
      <c r="K62" s="223">
        <f>K65</f>
        <v>120875</v>
      </c>
      <c r="L62" s="223">
        <f t="shared" si="4"/>
        <v>0</v>
      </c>
      <c r="M62" s="226">
        <f t="shared" si="0"/>
        <v>0</v>
      </c>
      <c r="N62" s="223">
        <v>120875</v>
      </c>
    </row>
    <row r="63" spans="2:14" s="214" customFormat="1" x14ac:dyDescent="0.25">
      <c r="B63" s="278" t="s">
        <v>150</v>
      </c>
      <c r="C63" s="279"/>
      <c r="D63" s="279"/>
      <c r="E63" s="278" t="s">
        <v>14</v>
      </c>
      <c r="F63" s="279"/>
      <c r="G63" s="279"/>
      <c r="H63" s="279"/>
      <c r="I63" s="279"/>
      <c r="J63" s="279"/>
      <c r="K63" s="224">
        <v>0</v>
      </c>
      <c r="L63" s="224">
        <f t="shared" si="4"/>
        <v>0</v>
      </c>
      <c r="M63" s="230">
        <v>0</v>
      </c>
      <c r="N63" s="224">
        <v>0</v>
      </c>
    </row>
    <row r="64" spans="2:14" s="214" customFormat="1" x14ac:dyDescent="0.25">
      <c r="B64" s="278" t="s">
        <v>165</v>
      </c>
      <c r="C64" s="279"/>
      <c r="D64" s="279"/>
      <c r="E64" s="278" t="s">
        <v>15</v>
      </c>
      <c r="F64" s="279"/>
      <c r="G64" s="279"/>
      <c r="H64" s="279"/>
      <c r="I64" s="279"/>
      <c r="J64" s="279"/>
      <c r="K64" s="224">
        <v>0</v>
      </c>
      <c r="L64" s="224">
        <f t="shared" si="4"/>
        <v>0</v>
      </c>
      <c r="M64" s="230">
        <v>0</v>
      </c>
      <c r="N64" s="224">
        <v>0</v>
      </c>
    </row>
    <row r="65" spans="2:14" s="214" customFormat="1" x14ac:dyDescent="0.25">
      <c r="B65" s="278" t="s">
        <v>153</v>
      </c>
      <c r="C65" s="279"/>
      <c r="D65" s="279"/>
      <c r="E65" s="278" t="s">
        <v>16</v>
      </c>
      <c r="F65" s="279"/>
      <c r="G65" s="279"/>
      <c r="H65" s="279"/>
      <c r="I65" s="279"/>
      <c r="J65" s="279"/>
      <c r="K65" s="224">
        <v>120875</v>
      </c>
      <c r="L65" s="224">
        <f t="shared" si="4"/>
        <v>0</v>
      </c>
      <c r="M65" s="230">
        <f t="shared" si="0"/>
        <v>0</v>
      </c>
      <c r="N65" s="224">
        <v>120875</v>
      </c>
    </row>
    <row r="66" spans="2:14" s="214" customFormat="1" x14ac:dyDescent="0.25">
      <c r="B66" s="278" t="s">
        <v>154</v>
      </c>
      <c r="C66" s="279"/>
      <c r="D66" s="279"/>
      <c r="E66" s="278" t="s">
        <v>32</v>
      </c>
      <c r="F66" s="279"/>
      <c r="G66" s="279"/>
      <c r="H66" s="279"/>
      <c r="I66" s="279"/>
      <c r="J66" s="279"/>
      <c r="K66" s="224">
        <v>120875</v>
      </c>
      <c r="L66" s="224">
        <f t="shared" si="4"/>
        <v>0</v>
      </c>
      <c r="M66" s="230">
        <f t="shared" si="0"/>
        <v>0</v>
      </c>
      <c r="N66" s="224">
        <v>120875</v>
      </c>
    </row>
    <row r="67" spans="2:14" s="214" customFormat="1" x14ac:dyDescent="0.25">
      <c r="B67" s="281" t="s">
        <v>180</v>
      </c>
      <c r="C67" s="282"/>
      <c r="D67" s="282"/>
      <c r="E67" s="281" t="s">
        <v>181</v>
      </c>
      <c r="F67" s="282"/>
      <c r="G67" s="282"/>
      <c r="H67" s="282"/>
      <c r="I67" s="282"/>
      <c r="J67" s="282"/>
      <c r="K67" s="223">
        <v>0</v>
      </c>
      <c r="L67" s="223">
        <f t="shared" si="4"/>
        <v>0</v>
      </c>
      <c r="M67" s="231">
        <v>0</v>
      </c>
      <c r="N67" s="223">
        <v>0</v>
      </c>
    </row>
    <row r="68" spans="2:14" s="214" customFormat="1" x14ac:dyDescent="0.25">
      <c r="B68" s="278" t="s">
        <v>150</v>
      </c>
      <c r="C68" s="279"/>
      <c r="D68" s="279"/>
      <c r="E68" s="278" t="s">
        <v>14</v>
      </c>
      <c r="F68" s="279"/>
      <c r="G68" s="279"/>
      <c r="H68" s="279"/>
      <c r="I68" s="279"/>
      <c r="J68" s="279"/>
      <c r="K68" s="224">
        <v>0</v>
      </c>
      <c r="L68" s="224">
        <f t="shared" si="4"/>
        <v>0</v>
      </c>
      <c r="M68" s="230">
        <v>0</v>
      </c>
      <c r="N68" s="224">
        <v>0</v>
      </c>
    </row>
    <row r="69" spans="2:14" s="214" customFormat="1" x14ac:dyDescent="0.25">
      <c r="B69" s="278" t="s">
        <v>165</v>
      </c>
      <c r="C69" s="279"/>
      <c r="D69" s="279"/>
      <c r="E69" s="278" t="s">
        <v>15</v>
      </c>
      <c r="F69" s="279"/>
      <c r="G69" s="279"/>
      <c r="H69" s="279"/>
      <c r="I69" s="279"/>
      <c r="J69" s="279"/>
      <c r="K69" s="224">
        <v>0</v>
      </c>
      <c r="L69" s="224">
        <f t="shared" si="4"/>
        <v>0</v>
      </c>
      <c r="M69" s="230">
        <v>0</v>
      </c>
      <c r="N69" s="224">
        <v>0</v>
      </c>
    </row>
    <row r="70" spans="2:14" s="214" customFormat="1" x14ac:dyDescent="0.25">
      <c r="B70" s="278" t="s">
        <v>151</v>
      </c>
      <c r="C70" s="279"/>
      <c r="D70" s="279"/>
      <c r="E70" s="278" t="s">
        <v>22</v>
      </c>
      <c r="F70" s="279"/>
      <c r="G70" s="279"/>
      <c r="H70" s="279"/>
      <c r="I70" s="279"/>
      <c r="J70" s="279"/>
      <c r="K70" s="224">
        <v>0</v>
      </c>
      <c r="L70" s="224">
        <f t="shared" si="4"/>
        <v>0</v>
      </c>
      <c r="M70" s="230">
        <v>0</v>
      </c>
      <c r="N70" s="224">
        <v>0</v>
      </c>
    </row>
    <row r="71" spans="2:14" s="214" customFormat="1" x14ac:dyDescent="0.25">
      <c r="B71" s="281" t="s">
        <v>182</v>
      </c>
      <c r="C71" s="282"/>
      <c r="D71" s="282"/>
      <c r="E71" s="281" t="s">
        <v>183</v>
      </c>
      <c r="F71" s="282"/>
      <c r="G71" s="282"/>
      <c r="H71" s="282"/>
      <c r="I71" s="282"/>
      <c r="J71" s="282"/>
      <c r="K71" s="223">
        <v>2381.3200000000002</v>
      </c>
      <c r="L71" s="223">
        <f t="shared" si="4"/>
        <v>-200</v>
      </c>
      <c r="M71" s="231">
        <f t="shared" si="0"/>
        <v>-8.3987032402197098E-2</v>
      </c>
      <c r="N71" s="223">
        <v>2181.3200000000002</v>
      </c>
    </row>
    <row r="72" spans="2:14" s="214" customFormat="1" x14ac:dyDescent="0.25">
      <c r="B72" s="278" t="s">
        <v>150</v>
      </c>
      <c r="C72" s="279"/>
      <c r="D72" s="279"/>
      <c r="E72" s="278" t="s">
        <v>14</v>
      </c>
      <c r="F72" s="279"/>
      <c r="G72" s="279"/>
      <c r="H72" s="279"/>
      <c r="I72" s="279"/>
      <c r="J72" s="279"/>
      <c r="K72" s="224">
        <v>1521.32</v>
      </c>
      <c r="L72" s="224">
        <f t="shared" si="4"/>
        <v>-320</v>
      </c>
      <c r="M72" s="230">
        <f t="shared" si="0"/>
        <v>-0.21034364893644994</v>
      </c>
      <c r="N72" s="224">
        <v>1201.32</v>
      </c>
    </row>
    <row r="73" spans="2:14" s="214" customFormat="1" x14ac:dyDescent="0.25">
      <c r="B73" s="278" t="s">
        <v>151</v>
      </c>
      <c r="C73" s="279"/>
      <c r="D73" s="279"/>
      <c r="E73" s="278" t="s">
        <v>22</v>
      </c>
      <c r="F73" s="279"/>
      <c r="G73" s="279"/>
      <c r="H73" s="279"/>
      <c r="I73" s="279"/>
      <c r="J73" s="279"/>
      <c r="K73" s="224">
        <v>1521.32</v>
      </c>
      <c r="L73" s="224">
        <f t="shared" si="4"/>
        <v>-320</v>
      </c>
      <c r="M73" s="230">
        <f t="shared" ref="M73:M104" si="5">L73/K73</f>
        <v>-0.21034364893644994</v>
      </c>
      <c r="N73" s="224">
        <v>1201.32</v>
      </c>
    </row>
    <row r="74" spans="2:14" s="214" customFormat="1" x14ac:dyDescent="0.25">
      <c r="B74" s="278" t="s">
        <v>153</v>
      </c>
      <c r="C74" s="279"/>
      <c r="D74" s="279"/>
      <c r="E74" s="278" t="s">
        <v>16</v>
      </c>
      <c r="F74" s="279"/>
      <c r="G74" s="279"/>
      <c r="H74" s="279"/>
      <c r="I74" s="279"/>
      <c r="J74" s="279"/>
      <c r="K74" s="224">
        <v>860</v>
      </c>
      <c r="L74" s="224">
        <f t="shared" si="4"/>
        <v>120</v>
      </c>
      <c r="M74" s="230">
        <f t="shared" si="5"/>
        <v>0.13953488372093023</v>
      </c>
      <c r="N74" s="224">
        <v>980</v>
      </c>
    </row>
    <row r="75" spans="2:14" s="214" customFormat="1" x14ac:dyDescent="0.25">
      <c r="B75" s="278" t="s">
        <v>154</v>
      </c>
      <c r="C75" s="279"/>
      <c r="D75" s="279"/>
      <c r="E75" s="278" t="s">
        <v>32</v>
      </c>
      <c r="F75" s="279"/>
      <c r="G75" s="279"/>
      <c r="H75" s="279"/>
      <c r="I75" s="279"/>
      <c r="J75" s="279"/>
      <c r="K75" s="224">
        <v>860</v>
      </c>
      <c r="L75" s="224">
        <f t="shared" si="4"/>
        <v>120</v>
      </c>
      <c r="M75" s="230">
        <f t="shared" si="5"/>
        <v>0.13953488372093023</v>
      </c>
      <c r="N75" s="224">
        <v>980</v>
      </c>
    </row>
    <row r="76" spans="2:14" s="214" customFormat="1" x14ac:dyDescent="0.25">
      <c r="B76" s="281" t="s">
        <v>184</v>
      </c>
      <c r="C76" s="282"/>
      <c r="D76" s="282"/>
      <c r="E76" s="281" t="s">
        <v>185</v>
      </c>
      <c r="F76" s="282"/>
      <c r="G76" s="282"/>
      <c r="H76" s="282"/>
      <c r="I76" s="282"/>
      <c r="J76" s="282"/>
      <c r="K76" s="223">
        <v>0</v>
      </c>
      <c r="L76" s="223">
        <f t="shared" si="4"/>
        <v>0</v>
      </c>
      <c r="M76" s="231">
        <v>0</v>
      </c>
      <c r="N76" s="223">
        <v>0</v>
      </c>
    </row>
    <row r="77" spans="2:14" s="214" customFormat="1" x14ac:dyDescent="0.25">
      <c r="B77" s="278" t="s">
        <v>150</v>
      </c>
      <c r="C77" s="279"/>
      <c r="D77" s="279"/>
      <c r="E77" s="278" t="s">
        <v>14</v>
      </c>
      <c r="F77" s="279"/>
      <c r="G77" s="279"/>
      <c r="H77" s="279"/>
      <c r="I77" s="279"/>
      <c r="J77" s="279"/>
      <c r="K77" s="224">
        <v>0</v>
      </c>
      <c r="L77" s="224">
        <f t="shared" si="4"/>
        <v>0</v>
      </c>
      <c r="M77" s="230">
        <v>0</v>
      </c>
      <c r="N77" s="224">
        <v>0</v>
      </c>
    </row>
    <row r="78" spans="2:14" s="214" customFormat="1" x14ac:dyDescent="0.25">
      <c r="B78" s="278" t="s">
        <v>151</v>
      </c>
      <c r="C78" s="279"/>
      <c r="D78" s="279"/>
      <c r="E78" s="278" t="s">
        <v>22</v>
      </c>
      <c r="F78" s="279"/>
      <c r="G78" s="279"/>
      <c r="H78" s="279"/>
      <c r="I78" s="279"/>
      <c r="J78" s="279"/>
      <c r="K78" s="224">
        <v>0</v>
      </c>
      <c r="L78" s="224">
        <v>0</v>
      </c>
      <c r="M78" s="230">
        <v>0</v>
      </c>
      <c r="N78" s="224">
        <v>0</v>
      </c>
    </row>
    <row r="79" spans="2:14" s="214" customFormat="1" x14ac:dyDescent="0.25">
      <c r="B79" s="278" t="s">
        <v>153</v>
      </c>
      <c r="C79" s="279"/>
      <c r="D79" s="279"/>
      <c r="E79" s="278" t="s">
        <v>16</v>
      </c>
      <c r="F79" s="279"/>
      <c r="G79" s="279"/>
      <c r="H79" s="279"/>
      <c r="I79" s="279"/>
      <c r="J79" s="279"/>
      <c r="K79" s="224">
        <v>0</v>
      </c>
      <c r="L79" s="224">
        <v>0</v>
      </c>
      <c r="M79" s="230">
        <v>0</v>
      </c>
      <c r="N79" s="224">
        <v>0</v>
      </c>
    </row>
    <row r="80" spans="2:14" s="214" customFormat="1" x14ac:dyDescent="0.25">
      <c r="B80" s="278" t="s">
        <v>154</v>
      </c>
      <c r="C80" s="279"/>
      <c r="D80" s="279"/>
      <c r="E80" s="278" t="s">
        <v>32</v>
      </c>
      <c r="F80" s="279"/>
      <c r="G80" s="279"/>
      <c r="H80" s="279"/>
      <c r="I80" s="279"/>
      <c r="J80" s="279"/>
      <c r="K80" s="224">
        <v>0</v>
      </c>
      <c r="L80" s="224">
        <v>0</v>
      </c>
      <c r="M80" s="230">
        <v>0</v>
      </c>
      <c r="N80" s="224">
        <v>0</v>
      </c>
    </row>
    <row r="81" spans="2:14" s="214" customFormat="1" x14ac:dyDescent="0.25">
      <c r="B81" s="283" t="s">
        <v>186</v>
      </c>
      <c r="C81" s="284"/>
      <c r="D81" s="284"/>
      <c r="E81" s="283" t="s">
        <v>187</v>
      </c>
      <c r="F81" s="284"/>
      <c r="G81" s="284"/>
      <c r="H81" s="284"/>
      <c r="I81" s="284"/>
      <c r="J81" s="284"/>
      <c r="K81" s="225">
        <v>0</v>
      </c>
      <c r="L81" s="225">
        <v>0</v>
      </c>
      <c r="M81" s="228">
        <v>0</v>
      </c>
      <c r="N81" s="225">
        <v>111</v>
      </c>
    </row>
    <row r="82" spans="2:14" s="214" customFormat="1" x14ac:dyDescent="0.25">
      <c r="B82" s="281" t="s">
        <v>163</v>
      </c>
      <c r="C82" s="282"/>
      <c r="D82" s="282"/>
      <c r="E82" s="281" t="s">
        <v>164</v>
      </c>
      <c r="F82" s="282"/>
      <c r="G82" s="282"/>
      <c r="H82" s="282"/>
      <c r="I82" s="282"/>
      <c r="J82" s="282"/>
      <c r="K82" s="223">
        <v>0</v>
      </c>
      <c r="L82" s="223">
        <v>0</v>
      </c>
      <c r="M82" s="231">
        <v>0</v>
      </c>
      <c r="N82" s="223">
        <v>111</v>
      </c>
    </row>
    <row r="83" spans="2:14" s="214" customFormat="1" x14ac:dyDescent="0.25">
      <c r="B83" s="278" t="s">
        <v>150</v>
      </c>
      <c r="C83" s="279"/>
      <c r="D83" s="279"/>
      <c r="E83" s="278" t="s">
        <v>14</v>
      </c>
      <c r="F83" s="279"/>
      <c r="G83" s="279"/>
      <c r="H83" s="279"/>
      <c r="I83" s="279"/>
      <c r="J83" s="279"/>
      <c r="K83" s="224">
        <v>0</v>
      </c>
      <c r="L83" s="224">
        <v>0</v>
      </c>
      <c r="M83" s="230">
        <v>0</v>
      </c>
      <c r="N83" s="224">
        <v>111</v>
      </c>
    </row>
    <row r="84" spans="2:14" s="214" customFormat="1" x14ac:dyDescent="0.25">
      <c r="B84" s="278" t="s">
        <v>165</v>
      </c>
      <c r="C84" s="279"/>
      <c r="D84" s="279"/>
      <c r="E84" s="278" t="s">
        <v>15</v>
      </c>
      <c r="F84" s="279"/>
      <c r="G84" s="279"/>
      <c r="H84" s="279"/>
      <c r="I84" s="279"/>
      <c r="J84" s="279"/>
      <c r="K84" s="224">
        <v>0</v>
      </c>
      <c r="L84" s="224">
        <v>0</v>
      </c>
      <c r="M84" s="230">
        <v>0</v>
      </c>
      <c r="N84" s="224">
        <v>50</v>
      </c>
    </row>
    <row r="85" spans="2:14" s="214" customFormat="1" x14ac:dyDescent="0.25">
      <c r="B85" s="278" t="s">
        <v>151</v>
      </c>
      <c r="C85" s="279"/>
      <c r="D85" s="279"/>
      <c r="E85" s="278" t="s">
        <v>22</v>
      </c>
      <c r="F85" s="279"/>
      <c r="G85" s="279"/>
      <c r="H85" s="279"/>
      <c r="I85" s="279"/>
      <c r="J85" s="279"/>
      <c r="K85" s="224">
        <v>0</v>
      </c>
      <c r="L85" s="224">
        <v>0</v>
      </c>
      <c r="M85" s="230">
        <v>0</v>
      </c>
      <c r="N85" s="224">
        <v>61</v>
      </c>
    </row>
    <row r="86" spans="2:14" s="214" customFormat="1" x14ac:dyDescent="0.25">
      <c r="B86" s="283" t="s">
        <v>188</v>
      </c>
      <c r="C86" s="284"/>
      <c r="D86" s="284"/>
      <c r="E86" s="283" t="s">
        <v>189</v>
      </c>
      <c r="F86" s="284"/>
      <c r="G86" s="284"/>
      <c r="H86" s="284"/>
      <c r="I86" s="284"/>
      <c r="J86" s="284"/>
      <c r="K86" s="225">
        <v>13750</v>
      </c>
      <c r="L86" s="225">
        <f>N86-K86</f>
        <v>100</v>
      </c>
      <c r="M86" s="228">
        <f t="shared" si="5"/>
        <v>7.2727272727272727E-3</v>
      </c>
      <c r="N86" s="225">
        <v>13850</v>
      </c>
    </row>
    <row r="87" spans="2:14" s="214" customFormat="1" x14ac:dyDescent="0.25">
      <c r="B87" s="281" t="s">
        <v>163</v>
      </c>
      <c r="C87" s="282"/>
      <c r="D87" s="282"/>
      <c r="E87" s="281" t="s">
        <v>164</v>
      </c>
      <c r="F87" s="282"/>
      <c r="G87" s="282"/>
      <c r="H87" s="282"/>
      <c r="I87" s="282"/>
      <c r="J87" s="282"/>
      <c r="K87" s="223">
        <v>13750</v>
      </c>
      <c r="L87" s="223">
        <f>N87-K87</f>
        <v>100</v>
      </c>
      <c r="M87" s="231">
        <f t="shared" si="5"/>
        <v>7.2727272727272727E-3</v>
      </c>
      <c r="N87" s="223">
        <v>13850</v>
      </c>
    </row>
    <row r="88" spans="2:14" s="214" customFormat="1" x14ac:dyDescent="0.25">
      <c r="B88" s="278" t="s">
        <v>150</v>
      </c>
      <c r="C88" s="279"/>
      <c r="D88" s="279"/>
      <c r="E88" s="278" t="s">
        <v>14</v>
      </c>
      <c r="F88" s="279"/>
      <c r="G88" s="279"/>
      <c r="H88" s="279"/>
      <c r="I88" s="279"/>
      <c r="J88" s="279"/>
      <c r="K88" s="224">
        <v>10250</v>
      </c>
      <c r="L88" s="224">
        <f>N88-K88</f>
        <v>100</v>
      </c>
      <c r="M88" s="230">
        <f t="shared" si="5"/>
        <v>9.7560975609756097E-3</v>
      </c>
      <c r="N88" s="224">
        <v>10350</v>
      </c>
    </row>
    <row r="89" spans="2:14" s="214" customFormat="1" x14ac:dyDescent="0.25">
      <c r="B89" s="278" t="s">
        <v>151</v>
      </c>
      <c r="C89" s="279"/>
      <c r="D89" s="279"/>
      <c r="E89" s="278" t="s">
        <v>22</v>
      </c>
      <c r="F89" s="279"/>
      <c r="G89" s="279"/>
      <c r="H89" s="279"/>
      <c r="I89" s="279"/>
      <c r="J89" s="279"/>
      <c r="K89" s="224">
        <v>10250</v>
      </c>
      <c r="L89" s="224">
        <f t="shared" ref="L89:L104" si="6">N89-K89</f>
        <v>100</v>
      </c>
      <c r="M89" s="230">
        <f t="shared" si="5"/>
        <v>9.7560975609756097E-3</v>
      </c>
      <c r="N89" s="224">
        <v>10350</v>
      </c>
    </row>
    <row r="90" spans="2:14" s="214" customFormat="1" x14ac:dyDescent="0.25">
      <c r="B90" s="278" t="s">
        <v>153</v>
      </c>
      <c r="C90" s="279"/>
      <c r="D90" s="279"/>
      <c r="E90" s="278" t="s">
        <v>16</v>
      </c>
      <c r="F90" s="279"/>
      <c r="G90" s="279"/>
      <c r="H90" s="279"/>
      <c r="I90" s="279"/>
      <c r="J90" s="279"/>
      <c r="K90" s="224">
        <v>3500</v>
      </c>
      <c r="L90" s="224">
        <f t="shared" si="6"/>
        <v>0</v>
      </c>
      <c r="M90" s="230">
        <f t="shared" si="5"/>
        <v>0</v>
      </c>
      <c r="N90" s="224">
        <v>3500</v>
      </c>
    </row>
    <row r="91" spans="2:14" s="214" customFormat="1" x14ac:dyDescent="0.25">
      <c r="B91" s="278" t="s">
        <v>154</v>
      </c>
      <c r="C91" s="279"/>
      <c r="D91" s="279"/>
      <c r="E91" s="278" t="s">
        <v>32</v>
      </c>
      <c r="F91" s="279"/>
      <c r="G91" s="279"/>
      <c r="H91" s="279"/>
      <c r="I91" s="279"/>
      <c r="J91" s="279"/>
      <c r="K91" s="224">
        <v>3500</v>
      </c>
      <c r="L91" s="224">
        <f t="shared" si="6"/>
        <v>0</v>
      </c>
      <c r="M91" s="230">
        <f t="shared" si="5"/>
        <v>0</v>
      </c>
      <c r="N91" s="224">
        <v>3500</v>
      </c>
    </row>
    <row r="92" spans="2:14" s="214" customFormat="1" x14ac:dyDescent="0.25">
      <c r="B92" s="283" t="s">
        <v>190</v>
      </c>
      <c r="C92" s="284"/>
      <c r="D92" s="284"/>
      <c r="E92" s="283" t="s">
        <v>191</v>
      </c>
      <c r="F92" s="284"/>
      <c r="G92" s="284"/>
      <c r="H92" s="284"/>
      <c r="I92" s="284"/>
      <c r="J92" s="284"/>
      <c r="K92" s="225">
        <v>12692.45</v>
      </c>
      <c r="L92" s="225">
        <f t="shared" si="6"/>
        <v>124.3799999999992</v>
      </c>
      <c r="M92" s="228">
        <f t="shared" si="5"/>
        <v>9.7995264901574713E-3</v>
      </c>
      <c r="N92" s="225">
        <v>12816.83</v>
      </c>
    </row>
    <row r="93" spans="2:14" s="214" customFormat="1" x14ac:dyDescent="0.25">
      <c r="B93" s="281" t="s">
        <v>163</v>
      </c>
      <c r="C93" s="282"/>
      <c r="D93" s="282"/>
      <c r="E93" s="281" t="s">
        <v>164</v>
      </c>
      <c r="F93" s="282"/>
      <c r="G93" s="282"/>
      <c r="H93" s="282"/>
      <c r="I93" s="282"/>
      <c r="J93" s="282"/>
      <c r="K93" s="223">
        <v>1359.81</v>
      </c>
      <c r="L93" s="223">
        <f t="shared" si="6"/>
        <v>13.330000000000155</v>
      </c>
      <c r="M93" s="231">
        <f t="shared" si="5"/>
        <v>9.8028401026615149E-3</v>
      </c>
      <c r="N93" s="223">
        <v>1373.14</v>
      </c>
    </row>
    <row r="94" spans="2:14" s="214" customFormat="1" x14ac:dyDescent="0.25">
      <c r="B94" s="278" t="s">
        <v>150</v>
      </c>
      <c r="C94" s="279"/>
      <c r="D94" s="279"/>
      <c r="E94" s="278" t="s">
        <v>14</v>
      </c>
      <c r="F94" s="279"/>
      <c r="G94" s="279"/>
      <c r="H94" s="279"/>
      <c r="I94" s="279"/>
      <c r="J94" s="279"/>
      <c r="K94" s="224">
        <v>1359.81</v>
      </c>
      <c r="L94" s="224">
        <f t="shared" si="6"/>
        <v>13.330000000000155</v>
      </c>
      <c r="M94" s="230">
        <f t="shared" si="5"/>
        <v>9.8028401026615149E-3</v>
      </c>
      <c r="N94" s="224">
        <v>1373.14</v>
      </c>
    </row>
    <row r="95" spans="2:14" s="214" customFormat="1" x14ac:dyDescent="0.25">
      <c r="B95" s="278" t="s">
        <v>165</v>
      </c>
      <c r="C95" s="279"/>
      <c r="D95" s="279"/>
      <c r="E95" s="278" t="s">
        <v>15</v>
      </c>
      <c r="F95" s="279"/>
      <c r="G95" s="279"/>
      <c r="H95" s="279"/>
      <c r="I95" s="279"/>
      <c r="J95" s="279"/>
      <c r="K95" s="224">
        <f>1230.19+47.82</f>
        <v>1278.01</v>
      </c>
      <c r="L95" s="224">
        <f t="shared" si="6"/>
        <v>0</v>
      </c>
      <c r="M95" s="230">
        <f t="shared" si="5"/>
        <v>0</v>
      </c>
      <c r="N95" s="224">
        <v>1278.01</v>
      </c>
    </row>
    <row r="96" spans="2:14" s="214" customFormat="1" x14ac:dyDescent="0.25">
      <c r="B96" s="278" t="s">
        <v>151</v>
      </c>
      <c r="C96" s="279"/>
      <c r="D96" s="279"/>
      <c r="E96" s="278" t="s">
        <v>22</v>
      </c>
      <c r="F96" s="279"/>
      <c r="G96" s="279"/>
      <c r="H96" s="279"/>
      <c r="I96" s="279"/>
      <c r="J96" s="279"/>
      <c r="K96" s="224">
        <f>77.88+3.92</f>
        <v>81.8</v>
      </c>
      <c r="L96" s="224">
        <f t="shared" si="6"/>
        <v>13.329999999999998</v>
      </c>
      <c r="M96" s="230">
        <f t="shared" si="5"/>
        <v>0.16295843520782394</v>
      </c>
      <c r="N96" s="224">
        <v>95.13</v>
      </c>
    </row>
    <row r="97" spans="2:14" s="214" customFormat="1" x14ac:dyDescent="0.25">
      <c r="B97" s="281" t="s">
        <v>173</v>
      </c>
      <c r="C97" s="282"/>
      <c r="D97" s="282"/>
      <c r="E97" s="281" t="s">
        <v>174</v>
      </c>
      <c r="F97" s="282"/>
      <c r="G97" s="282"/>
      <c r="H97" s="282"/>
      <c r="I97" s="282"/>
      <c r="J97" s="282"/>
      <c r="K97" s="223">
        <f>K98</f>
        <v>1699.8999999999999</v>
      </c>
      <c r="L97" s="223">
        <f t="shared" si="6"/>
        <v>16.660000000000082</v>
      </c>
      <c r="M97" s="231">
        <f t="shared" si="5"/>
        <v>9.8005765045003131E-3</v>
      </c>
      <c r="N97" s="223">
        <v>1716.56</v>
      </c>
    </row>
    <row r="98" spans="2:14" s="214" customFormat="1" x14ac:dyDescent="0.25">
      <c r="B98" s="278" t="s">
        <v>150</v>
      </c>
      <c r="C98" s="279"/>
      <c r="D98" s="279"/>
      <c r="E98" s="278" t="s">
        <v>14</v>
      </c>
      <c r="F98" s="279"/>
      <c r="G98" s="279"/>
      <c r="H98" s="279"/>
      <c r="I98" s="279"/>
      <c r="J98" s="279"/>
      <c r="K98" s="224">
        <f>K99+K100</f>
        <v>1699.8999999999999</v>
      </c>
      <c r="L98" s="224">
        <f t="shared" si="6"/>
        <v>16.660000000000082</v>
      </c>
      <c r="M98" s="230">
        <f t="shared" si="5"/>
        <v>9.8005765045003131E-3</v>
      </c>
      <c r="N98" s="224">
        <v>1716.56</v>
      </c>
    </row>
    <row r="99" spans="2:14" s="214" customFormat="1" x14ac:dyDescent="0.25">
      <c r="B99" s="278" t="s">
        <v>165</v>
      </c>
      <c r="C99" s="279"/>
      <c r="D99" s="279"/>
      <c r="E99" s="278" t="s">
        <v>15</v>
      </c>
      <c r="F99" s="279"/>
      <c r="G99" s="279"/>
      <c r="H99" s="279"/>
      <c r="I99" s="279"/>
      <c r="J99" s="279"/>
      <c r="K99" s="224">
        <f>1537.86+59.78</f>
        <v>1597.6399999999999</v>
      </c>
      <c r="L99" s="224">
        <f t="shared" si="6"/>
        <v>0</v>
      </c>
      <c r="M99" s="230">
        <f t="shared" si="5"/>
        <v>0</v>
      </c>
      <c r="N99" s="224">
        <v>1597.64</v>
      </c>
    </row>
    <row r="100" spans="2:14" s="214" customFormat="1" x14ac:dyDescent="0.25">
      <c r="B100" s="278" t="s">
        <v>151</v>
      </c>
      <c r="C100" s="279"/>
      <c r="D100" s="279"/>
      <c r="E100" s="278" t="s">
        <v>22</v>
      </c>
      <c r="F100" s="279"/>
      <c r="G100" s="279"/>
      <c r="H100" s="279"/>
      <c r="I100" s="279"/>
      <c r="J100" s="279"/>
      <c r="K100" s="224">
        <f>97.36+4.9</f>
        <v>102.26</v>
      </c>
      <c r="L100" s="224">
        <f t="shared" si="6"/>
        <v>16.659999999999997</v>
      </c>
      <c r="M100" s="230">
        <f t="shared" si="5"/>
        <v>0.16291805202425186</v>
      </c>
      <c r="N100" s="224">
        <v>118.92</v>
      </c>
    </row>
    <row r="101" spans="2:14" s="214" customFormat="1" x14ac:dyDescent="0.25">
      <c r="B101" s="281" t="s">
        <v>178</v>
      </c>
      <c r="C101" s="282"/>
      <c r="D101" s="282"/>
      <c r="E101" s="281" t="s">
        <v>179</v>
      </c>
      <c r="F101" s="282"/>
      <c r="G101" s="282"/>
      <c r="H101" s="282"/>
      <c r="I101" s="282"/>
      <c r="J101" s="282"/>
      <c r="K101" s="223">
        <v>9632.74</v>
      </c>
      <c r="L101" s="223">
        <f t="shared" si="6"/>
        <v>94.389999999999418</v>
      </c>
      <c r="M101" s="231">
        <f t="shared" si="5"/>
        <v>9.7988734254219906E-3</v>
      </c>
      <c r="N101" s="223">
        <v>9727.1299999999992</v>
      </c>
    </row>
    <row r="102" spans="2:14" s="214" customFormat="1" x14ac:dyDescent="0.25">
      <c r="B102" s="278" t="s">
        <v>150</v>
      </c>
      <c r="C102" s="279"/>
      <c r="D102" s="279"/>
      <c r="E102" s="278" t="s">
        <v>14</v>
      </c>
      <c r="F102" s="279"/>
      <c r="G102" s="279"/>
      <c r="H102" s="279"/>
      <c r="I102" s="279"/>
      <c r="J102" s="279"/>
      <c r="K102" s="224">
        <v>9632.74</v>
      </c>
      <c r="L102" s="224">
        <f t="shared" si="6"/>
        <v>94.389999999999418</v>
      </c>
      <c r="M102" s="230">
        <f t="shared" si="5"/>
        <v>9.7988734254219906E-3</v>
      </c>
      <c r="N102" s="224">
        <v>9727.1299999999992</v>
      </c>
    </row>
    <row r="103" spans="2:14" s="214" customFormat="1" x14ac:dyDescent="0.25">
      <c r="B103" s="278" t="s">
        <v>165</v>
      </c>
      <c r="C103" s="279"/>
      <c r="D103" s="279"/>
      <c r="E103" s="278" t="s">
        <v>15</v>
      </c>
      <c r="F103" s="279"/>
      <c r="G103" s="279"/>
      <c r="H103" s="279"/>
      <c r="I103" s="279"/>
      <c r="J103" s="279"/>
      <c r="K103" s="224">
        <v>9053.25</v>
      </c>
      <c r="L103" s="224">
        <f t="shared" si="6"/>
        <v>0</v>
      </c>
      <c r="M103" s="230">
        <f t="shared" si="5"/>
        <v>0</v>
      </c>
      <c r="N103" s="224">
        <v>9053.25</v>
      </c>
    </row>
    <row r="104" spans="2:14" s="214" customFormat="1" x14ac:dyDescent="0.25">
      <c r="B104" s="278" t="s">
        <v>151</v>
      </c>
      <c r="C104" s="279"/>
      <c r="D104" s="279"/>
      <c r="E104" s="278" t="s">
        <v>22</v>
      </c>
      <c r="F104" s="279"/>
      <c r="G104" s="279"/>
      <c r="H104" s="279"/>
      <c r="I104" s="279"/>
      <c r="J104" s="279"/>
      <c r="K104" s="224">
        <v>579.48</v>
      </c>
      <c r="L104" s="224">
        <f t="shared" si="6"/>
        <v>94.399999999999977</v>
      </c>
      <c r="M104" s="230">
        <f t="shared" si="5"/>
        <v>0.1629046731552426</v>
      </c>
      <c r="N104" s="224">
        <v>673.88</v>
      </c>
    </row>
    <row r="105" spans="2:14" s="214" customFormat="1" x14ac:dyDescent="0.25">
      <c r="B105" s="283" t="s">
        <v>192</v>
      </c>
      <c r="C105" s="284"/>
      <c r="D105" s="284"/>
      <c r="E105" s="283" t="s">
        <v>193</v>
      </c>
      <c r="F105" s="284"/>
      <c r="G105" s="284"/>
      <c r="H105" s="284"/>
      <c r="I105" s="284"/>
      <c r="J105" s="284"/>
      <c r="K105" s="225">
        <v>0</v>
      </c>
      <c r="L105" s="225">
        <v>0</v>
      </c>
      <c r="M105" s="228">
        <v>0</v>
      </c>
      <c r="N105" s="225">
        <v>570</v>
      </c>
    </row>
    <row r="106" spans="2:14" s="214" customFormat="1" x14ac:dyDescent="0.25">
      <c r="B106" s="281" t="s">
        <v>163</v>
      </c>
      <c r="C106" s="282"/>
      <c r="D106" s="282"/>
      <c r="E106" s="281" t="s">
        <v>164</v>
      </c>
      <c r="F106" s="282"/>
      <c r="G106" s="282"/>
      <c r="H106" s="282"/>
      <c r="I106" s="282"/>
      <c r="J106" s="282"/>
      <c r="K106" s="223">
        <v>0</v>
      </c>
      <c r="L106" s="223">
        <v>0</v>
      </c>
      <c r="M106" s="231">
        <v>0</v>
      </c>
      <c r="N106" s="223">
        <v>570</v>
      </c>
    </row>
    <row r="107" spans="2:14" s="214" customFormat="1" x14ac:dyDescent="0.25">
      <c r="B107" s="278" t="s">
        <v>150</v>
      </c>
      <c r="C107" s="279"/>
      <c r="D107" s="279"/>
      <c r="E107" s="278" t="s">
        <v>14</v>
      </c>
      <c r="F107" s="279"/>
      <c r="G107" s="279"/>
      <c r="H107" s="279"/>
      <c r="I107" s="279"/>
      <c r="J107" s="279"/>
      <c r="K107" s="224">
        <v>0</v>
      </c>
      <c r="L107" s="224">
        <v>0</v>
      </c>
      <c r="M107" s="230">
        <v>0</v>
      </c>
      <c r="N107" s="224">
        <v>570</v>
      </c>
    </row>
    <row r="108" spans="2:14" s="214" customFormat="1" x14ac:dyDescent="0.25">
      <c r="B108" s="278" t="s">
        <v>165</v>
      </c>
      <c r="C108" s="279"/>
      <c r="D108" s="279"/>
      <c r="E108" s="278" t="s">
        <v>15</v>
      </c>
      <c r="F108" s="279"/>
      <c r="G108" s="279"/>
      <c r="H108" s="279"/>
      <c r="I108" s="279"/>
      <c r="J108" s="279"/>
      <c r="K108" s="224">
        <v>0</v>
      </c>
      <c r="L108" s="224">
        <v>0</v>
      </c>
      <c r="M108" s="230">
        <v>0</v>
      </c>
      <c r="N108" s="224">
        <v>500</v>
      </c>
    </row>
    <row r="109" spans="2:14" s="214" customFormat="1" x14ac:dyDescent="0.25">
      <c r="B109" s="278" t="s">
        <v>151</v>
      </c>
      <c r="C109" s="279"/>
      <c r="D109" s="279"/>
      <c r="E109" s="278" t="s">
        <v>22</v>
      </c>
      <c r="F109" s="279"/>
      <c r="G109" s="279"/>
      <c r="H109" s="279"/>
      <c r="I109" s="279"/>
      <c r="J109" s="279"/>
      <c r="K109" s="224">
        <v>0</v>
      </c>
      <c r="L109" s="224">
        <v>0</v>
      </c>
      <c r="M109" s="230">
        <v>0</v>
      </c>
      <c r="N109" s="224">
        <v>70</v>
      </c>
    </row>
    <row r="110" spans="2:14" s="214" customFormat="1" x14ac:dyDescent="0.25">
      <c r="B110" s="278" t="s">
        <v>166</v>
      </c>
      <c r="C110" s="279"/>
      <c r="D110" s="279"/>
      <c r="E110" s="278" t="s">
        <v>167</v>
      </c>
      <c r="F110" s="279"/>
      <c r="G110" s="279"/>
      <c r="H110" s="279"/>
      <c r="I110" s="279"/>
      <c r="J110" s="279"/>
      <c r="K110" s="224">
        <v>0</v>
      </c>
      <c r="L110" s="224">
        <v>0</v>
      </c>
      <c r="M110" s="230">
        <v>0</v>
      </c>
      <c r="N110" s="224">
        <v>0</v>
      </c>
    </row>
    <row r="111" spans="2:14" s="214" customFormat="1" x14ac:dyDescent="0.25">
      <c r="B111" s="274" t="s">
        <v>194</v>
      </c>
      <c r="C111" s="275"/>
      <c r="D111" s="275"/>
      <c r="E111" s="274" t="s">
        <v>195</v>
      </c>
      <c r="F111" s="275"/>
      <c r="G111" s="275"/>
      <c r="H111" s="275"/>
      <c r="I111" s="275"/>
      <c r="J111" s="275"/>
      <c r="K111" s="221">
        <v>0</v>
      </c>
      <c r="L111" s="221">
        <v>0</v>
      </c>
      <c r="M111" s="227">
        <v>0</v>
      </c>
      <c r="N111" s="221">
        <v>45000</v>
      </c>
    </row>
    <row r="112" spans="2:14" s="214" customFormat="1" x14ac:dyDescent="0.25">
      <c r="B112" s="283" t="s">
        <v>196</v>
      </c>
      <c r="C112" s="284"/>
      <c r="D112" s="284"/>
      <c r="E112" s="283" t="s">
        <v>197</v>
      </c>
      <c r="F112" s="284"/>
      <c r="G112" s="284"/>
      <c r="H112" s="284"/>
      <c r="I112" s="284"/>
      <c r="J112" s="284"/>
      <c r="K112" s="225">
        <v>0</v>
      </c>
      <c r="L112" s="225">
        <v>0</v>
      </c>
      <c r="M112" s="228">
        <v>0</v>
      </c>
      <c r="N112" s="225">
        <v>45000</v>
      </c>
    </row>
    <row r="113" spans="2:14" s="214" customFormat="1" x14ac:dyDescent="0.25">
      <c r="B113" s="281" t="s">
        <v>163</v>
      </c>
      <c r="C113" s="282"/>
      <c r="D113" s="282"/>
      <c r="E113" s="281" t="s">
        <v>164</v>
      </c>
      <c r="F113" s="282"/>
      <c r="G113" s="282"/>
      <c r="H113" s="282"/>
      <c r="I113" s="282"/>
      <c r="J113" s="282"/>
      <c r="K113" s="223">
        <v>0</v>
      </c>
      <c r="L113" s="223">
        <v>0</v>
      </c>
      <c r="M113" s="231">
        <v>0</v>
      </c>
      <c r="N113" s="223">
        <v>45000</v>
      </c>
    </row>
    <row r="114" spans="2:14" s="214" customFormat="1" x14ac:dyDescent="0.25">
      <c r="B114" s="278" t="s">
        <v>153</v>
      </c>
      <c r="C114" s="279"/>
      <c r="D114" s="279"/>
      <c r="E114" s="278" t="s">
        <v>16</v>
      </c>
      <c r="F114" s="279"/>
      <c r="G114" s="279"/>
      <c r="H114" s="279"/>
      <c r="I114" s="279"/>
      <c r="J114" s="279"/>
      <c r="K114" s="224">
        <v>0</v>
      </c>
      <c r="L114" s="224">
        <v>0</v>
      </c>
      <c r="M114" s="230">
        <v>0</v>
      </c>
      <c r="N114" s="224">
        <v>45000</v>
      </c>
    </row>
    <row r="115" spans="2:14" s="214" customFormat="1" x14ac:dyDescent="0.25">
      <c r="B115" s="278" t="s">
        <v>154</v>
      </c>
      <c r="C115" s="279"/>
      <c r="D115" s="279"/>
      <c r="E115" s="278" t="s">
        <v>32</v>
      </c>
      <c r="F115" s="279"/>
      <c r="G115" s="279"/>
      <c r="H115" s="279"/>
      <c r="I115" s="279"/>
      <c r="J115" s="279"/>
      <c r="K115" s="224">
        <v>0</v>
      </c>
      <c r="L115" s="224">
        <v>0</v>
      </c>
      <c r="M115" s="230">
        <v>0</v>
      </c>
      <c r="N115" s="224">
        <v>45000</v>
      </c>
    </row>
    <row r="116" spans="2:14" x14ac:dyDescent="0.25">
      <c r="B116" s="215"/>
      <c r="C116" s="215"/>
      <c r="D116" s="216"/>
      <c r="E116" s="215"/>
      <c r="F116" s="215"/>
      <c r="G116" s="215"/>
      <c r="H116" s="215"/>
      <c r="I116" s="215"/>
      <c r="J116" s="215"/>
      <c r="K116" s="215"/>
      <c r="L116" s="215"/>
      <c r="M116" s="215"/>
      <c r="N116" s="215"/>
    </row>
  </sheetData>
  <mergeCells count="221">
    <mergeCell ref="B115:D115"/>
    <mergeCell ref="E115:J115"/>
    <mergeCell ref="F7:H7"/>
    <mergeCell ref="A4:N4"/>
    <mergeCell ref="B113:D113"/>
    <mergeCell ref="E113:J113"/>
    <mergeCell ref="B114:D114"/>
    <mergeCell ref="E114:J114"/>
    <mergeCell ref="B111:D111"/>
    <mergeCell ref="E111:J111"/>
    <mergeCell ref="B112:D112"/>
    <mergeCell ref="E112:J112"/>
    <mergeCell ref="B109:D109"/>
    <mergeCell ref="E109:J109"/>
    <mergeCell ref="B110:D110"/>
    <mergeCell ref="E110:J110"/>
    <mergeCell ref="B107:D107"/>
    <mergeCell ref="E107:J107"/>
    <mergeCell ref="B108:D108"/>
    <mergeCell ref="E108:J108"/>
    <mergeCell ref="B105:D105"/>
    <mergeCell ref="E105:J105"/>
    <mergeCell ref="B106:D106"/>
    <mergeCell ref="E106:J106"/>
    <mergeCell ref="A1:N1"/>
    <mergeCell ref="A2:N2"/>
    <mergeCell ref="B100:D100"/>
    <mergeCell ref="E100:J100"/>
    <mergeCell ref="B97:D97"/>
    <mergeCell ref="E97:J97"/>
    <mergeCell ref="B98:D98"/>
    <mergeCell ref="E98:J98"/>
    <mergeCell ref="B103:D103"/>
    <mergeCell ref="E103:J103"/>
    <mergeCell ref="B93:D93"/>
    <mergeCell ref="E93:J93"/>
    <mergeCell ref="B94:D94"/>
    <mergeCell ref="E94:J94"/>
    <mergeCell ref="E87:J87"/>
    <mergeCell ref="B88:D88"/>
    <mergeCell ref="E88:J88"/>
    <mergeCell ref="E85:J85"/>
    <mergeCell ref="B86:D86"/>
    <mergeCell ref="E86:J86"/>
    <mergeCell ref="B91:D91"/>
    <mergeCell ref="E91:J91"/>
    <mergeCell ref="B92:D92"/>
    <mergeCell ref="E92:J92"/>
    <mergeCell ref="B104:D104"/>
    <mergeCell ref="E104:J104"/>
    <mergeCell ref="B101:D101"/>
    <mergeCell ref="E101:J101"/>
    <mergeCell ref="B102:D102"/>
    <mergeCell ref="E102:J102"/>
    <mergeCell ref="B95:D95"/>
    <mergeCell ref="E95:J95"/>
    <mergeCell ref="B96:D96"/>
    <mergeCell ref="E96:J96"/>
    <mergeCell ref="B99:D99"/>
    <mergeCell ref="E99:J99"/>
    <mergeCell ref="B89:D89"/>
    <mergeCell ref="E89:J89"/>
    <mergeCell ref="B90:D90"/>
    <mergeCell ref="E90:J90"/>
    <mergeCell ref="B80:D80"/>
    <mergeCell ref="E80:J80"/>
    <mergeCell ref="B77:D77"/>
    <mergeCell ref="E77:J77"/>
    <mergeCell ref="B78:D78"/>
    <mergeCell ref="E78:J78"/>
    <mergeCell ref="B83:D83"/>
    <mergeCell ref="E83:J83"/>
    <mergeCell ref="B84:D84"/>
    <mergeCell ref="E84:J84"/>
    <mergeCell ref="B81:D81"/>
    <mergeCell ref="E81:J81"/>
    <mergeCell ref="B82:D82"/>
    <mergeCell ref="E82:J82"/>
    <mergeCell ref="B75:D75"/>
    <mergeCell ref="E75:J75"/>
    <mergeCell ref="B76:D76"/>
    <mergeCell ref="E76:J76"/>
    <mergeCell ref="B73:D73"/>
    <mergeCell ref="E73:J73"/>
    <mergeCell ref="B74:D74"/>
    <mergeCell ref="E74:J74"/>
    <mergeCell ref="B79:D79"/>
    <mergeCell ref="E79:J79"/>
    <mergeCell ref="B68:D68"/>
    <mergeCell ref="E68:J68"/>
    <mergeCell ref="B65:D65"/>
    <mergeCell ref="E65:J65"/>
    <mergeCell ref="B66:D66"/>
    <mergeCell ref="E66:J66"/>
    <mergeCell ref="B71:D71"/>
    <mergeCell ref="E71:J71"/>
    <mergeCell ref="B72:D72"/>
    <mergeCell ref="E72:J72"/>
    <mergeCell ref="B69:D69"/>
    <mergeCell ref="E69:J69"/>
    <mergeCell ref="B70:D70"/>
    <mergeCell ref="E70:J70"/>
    <mergeCell ref="B63:D63"/>
    <mergeCell ref="E63:J63"/>
    <mergeCell ref="B64:D64"/>
    <mergeCell ref="E64:J64"/>
    <mergeCell ref="B61:D61"/>
    <mergeCell ref="E61:J61"/>
    <mergeCell ref="B62:D62"/>
    <mergeCell ref="E62:J62"/>
    <mergeCell ref="B67:D67"/>
    <mergeCell ref="E67:J67"/>
    <mergeCell ref="B56:D56"/>
    <mergeCell ref="E56:J56"/>
    <mergeCell ref="B53:D53"/>
    <mergeCell ref="E53:J53"/>
    <mergeCell ref="B54:D54"/>
    <mergeCell ref="E54:J54"/>
    <mergeCell ref="B59:D59"/>
    <mergeCell ref="E59:J59"/>
    <mergeCell ref="B60:D60"/>
    <mergeCell ref="E60:J60"/>
    <mergeCell ref="B57:D57"/>
    <mergeCell ref="E57:J57"/>
    <mergeCell ref="B58:D58"/>
    <mergeCell ref="E58:J58"/>
    <mergeCell ref="B51:D51"/>
    <mergeCell ref="E51:J51"/>
    <mergeCell ref="B52:D52"/>
    <mergeCell ref="E52:J52"/>
    <mergeCell ref="B49:D49"/>
    <mergeCell ref="E49:J49"/>
    <mergeCell ref="B50:D50"/>
    <mergeCell ref="E50:J50"/>
    <mergeCell ref="B55:D55"/>
    <mergeCell ref="E55:J55"/>
    <mergeCell ref="B44:D44"/>
    <mergeCell ref="E44:J44"/>
    <mergeCell ref="B41:D41"/>
    <mergeCell ref="E41:J41"/>
    <mergeCell ref="B42:D42"/>
    <mergeCell ref="E42:J42"/>
    <mergeCell ref="E47:J47"/>
    <mergeCell ref="B48:D48"/>
    <mergeCell ref="E48:J48"/>
    <mergeCell ref="B45:D45"/>
    <mergeCell ref="E45:J45"/>
    <mergeCell ref="B46:D46"/>
    <mergeCell ref="E46:J46"/>
    <mergeCell ref="B39:D39"/>
    <mergeCell ref="E39:J39"/>
    <mergeCell ref="B40:D40"/>
    <mergeCell ref="E40:J40"/>
    <mergeCell ref="E37:J37"/>
    <mergeCell ref="B38:D38"/>
    <mergeCell ref="E38:J38"/>
    <mergeCell ref="B43:D43"/>
    <mergeCell ref="E43:J43"/>
    <mergeCell ref="E31:J31"/>
    <mergeCell ref="B32:D32"/>
    <mergeCell ref="E32:J32"/>
    <mergeCell ref="E29:J29"/>
    <mergeCell ref="B30:D30"/>
    <mergeCell ref="E30:J30"/>
    <mergeCell ref="E35:J35"/>
    <mergeCell ref="B36:D36"/>
    <mergeCell ref="E36:J36"/>
    <mergeCell ref="B33:D33"/>
    <mergeCell ref="E33:J33"/>
    <mergeCell ref="B34:D34"/>
    <mergeCell ref="E34:J34"/>
    <mergeCell ref="E23:J23"/>
    <mergeCell ref="B24:D24"/>
    <mergeCell ref="E24:J24"/>
    <mergeCell ref="B21:D21"/>
    <mergeCell ref="E21:J21"/>
    <mergeCell ref="B22:D22"/>
    <mergeCell ref="E22:J22"/>
    <mergeCell ref="E27:J27"/>
    <mergeCell ref="B28:D28"/>
    <mergeCell ref="E28:J28"/>
    <mergeCell ref="E25:J25"/>
    <mergeCell ref="B26:D26"/>
    <mergeCell ref="E26:J26"/>
    <mergeCell ref="E14:J14"/>
    <mergeCell ref="B11:D11"/>
    <mergeCell ref="E11:J11"/>
    <mergeCell ref="B12:D12"/>
    <mergeCell ref="E12:J12"/>
    <mergeCell ref="B19:D19"/>
    <mergeCell ref="E19:J19"/>
    <mergeCell ref="B20:D20"/>
    <mergeCell ref="E20:J20"/>
    <mergeCell ref="B17:D17"/>
    <mergeCell ref="E17:J17"/>
    <mergeCell ref="B18:D18"/>
    <mergeCell ref="E18:J18"/>
    <mergeCell ref="B7:D7"/>
    <mergeCell ref="B9:D9"/>
    <mergeCell ref="E9:J9"/>
    <mergeCell ref="B10:D10"/>
    <mergeCell ref="E10:J10"/>
    <mergeCell ref="B8:D8"/>
    <mergeCell ref="E8:J8"/>
    <mergeCell ref="B85:D85"/>
    <mergeCell ref="B87:D87"/>
    <mergeCell ref="B47:D47"/>
    <mergeCell ref="B35:D35"/>
    <mergeCell ref="B37:D37"/>
    <mergeCell ref="B23:D23"/>
    <mergeCell ref="B25:D25"/>
    <mergeCell ref="B27:D27"/>
    <mergeCell ref="B29:D29"/>
    <mergeCell ref="B31:D31"/>
    <mergeCell ref="B15:D15"/>
    <mergeCell ref="E15:J15"/>
    <mergeCell ref="B16:D16"/>
    <mergeCell ref="E16:J16"/>
    <mergeCell ref="B13:D13"/>
    <mergeCell ref="E13:J13"/>
    <mergeCell ref="B14:D14"/>
  </mergeCells>
  <pageMargins left="0.23622047244094491" right="0.23622047244094491" top="0.35433070866141736" bottom="0.35433070866141736" header="0.31496062992125984" footer="0.31496062992125984"/>
  <pageSetup paperSize="9" scale="8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6</vt:i4>
      </vt:variant>
    </vt:vector>
  </HeadingPairs>
  <TitlesOfParts>
    <vt:vector size="6" baseType="lpstr">
      <vt:lpstr>SAŽETAK</vt:lpstr>
      <vt:lpstr>Rač. prih. i rash.prema ek.kl  </vt:lpstr>
      <vt:lpstr>Rač. prih. i rash.prema IZV.FI</vt:lpstr>
      <vt:lpstr>Račun financiranja EK. KLAS</vt:lpstr>
      <vt:lpstr>Račun financiranja FUNK.KLAS</vt:lpstr>
      <vt:lpstr>POSEBNI DIO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Windows korisnik</cp:lastModifiedBy>
  <cp:lastPrinted>2025-11-10T06:56:37Z</cp:lastPrinted>
  <dcterms:created xsi:type="dcterms:W3CDTF">2022-08-12T12:51:27Z</dcterms:created>
  <dcterms:modified xsi:type="dcterms:W3CDTF">2025-11-10T07:01:41Z</dcterms:modified>
</cp:coreProperties>
</file>