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FINANCIJSKI PLAN\FP 2025. - projekcija 2026. - 2027\1.  REBALANS\"/>
    </mc:Choice>
  </mc:AlternateContent>
  <bookViews>
    <workbookView xWindow="0" yWindow="0" windowWidth="19410" windowHeight="11010"/>
  </bookViews>
  <sheets>
    <sheet name="SAŽETAK" sheetId="1" r:id="rId1"/>
    <sheet name=" Račun prihoda i rashoda" sheetId="3" r:id="rId2"/>
    <sheet name="Račun financiranja" sheetId="6" r:id="rId3"/>
    <sheet name="POSEBNI DIO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7" l="1"/>
  <c r="I11" i="3"/>
  <c r="J13" i="1"/>
  <c r="J14" i="1"/>
  <c r="J15" i="1"/>
  <c r="J16" i="1"/>
  <c r="J10" i="1"/>
  <c r="J11" i="1"/>
  <c r="H22" i="3" l="1"/>
  <c r="H32" i="3"/>
  <c r="J32" i="3" s="1"/>
  <c r="J33" i="3"/>
  <c r="I31" i="1"/>
  <c r="J31" i="1"/>
  <c r="K31" i="1"/>
  <c r="H31" i="1"/>
  <c r="I16" i="1"/>
  <c r="K16" i="1"/>
  <c r="K13" i="1"/>
  <c r="I13" i="1"/>
  <c r="I14" i="1"/>
  <c r="I15" i="1"/>
  <c r="K14" i="1"/>
  <c r="I72" i="3"/>
  <c r="K10" i="1"/>
  <c r="I11" i="1"/>
  <c r="G100" i="3" l="1"/>
  <c r="G110" i="3"/>
  <c r="G101" i="3"/>
  <c r="J45" i="3"/>
  <c r="G43" i="3"/>
  <c r="G73" i="3"/>
  <c r="G44" i="3"/>
  <c r="G66" i="3"/>
  <c r="G62" i="3"/>
  <c r="G51" i="3"/>
  <c r="G45" i="3"/>
  <c r="G32" i="3"/>
  <c r="G31" i="3"/>
  <c r="G23" i="3"/>
  <c r="G20" i="3"/>
  <c r="G13" i="3"/>
  <c r="G12" i="3" s="1"/>
  <c r="G11" i="3" s="1"/>
  <c r="G129" i="3"/>
  <c r="G120" i="3"/>
  <c r="G29" i="7"/>
  <c r="G28" i="7" s="1"/>
  <c r="G45" i="7"/>
  <c r="G44" i="7"/>
  <c r="J84" i="7"/>
  <c r="I84" i="7"/>
  <c r="H84" i="7"/>
  <c r="G84" i="7"/>
  <c r="H85" i="7"/>
  <c r="J85" i="7" s="1"/>
  <c r="G85" i="7"/>
  <c r="F85" i="7"/>
  <c r="E85" i="7"/>
  <c r="I32" i="7"/>
  <c r="J32" i="7"/>
  <c r="I33" i="7"/>
  <c r="J33" i="7"/>
  <c r="G22" i="7"/>
  <c r="H20" i="7"/>
  <c r="J75" i="7"/>
  <c r="I76" i="7"/>
  <c r="J76" i="7"/>
  <c r="I77" i="7"/>
  <c r="J77" i="7"/>
  <c r="J78" i="7"/>
  <c r="I88" i="7"/>
  <c r="J88" i="7"/>
  <c r="G87" i="7"/>
  <c r="J87" i="7" s="1"/>
  <c r="I132" i="3"/>
  <c r="J132" i="3"/>
  <c r="I113" i="3"/>
  <c r="J113" i="3"/>
  <c r="H36" i="7"/>
  <c r="H35" i="7" s="1"/>
  <c r="I122" i="3"/>
  <c r="J122" i="3"/>
  <c r="I123" i="3"/>
  <c r="J123" i="3"/>
  <c r="I102" i="3"/>
  <c r="J102" i="3"/>
  <c r="I103" i="3"/>
  <c r="J103" i="3"/>
  <c r="I104" i="3"/>
  <c r="J104" i="3"/>
  <c r="I80" i="3"/>
  <c r="J80" i="3"/>
  <c r="I53" i="3"/>
  <c r="J53" i="3"/>
  <c r="I54" i="3"/>
  <c r="J54" i="3"/>
  <c r="I47" i="3"/>
  <c r="J47" i="3"/>
  <c r="I48" i="3"/>
  <c r="J48" i="3"/>
  <c r="G119" i="3" l="1"/>
  <c r="I85" i="7"/>
  <c r="G86" i="7"/>
  <c r="I86" i="7" s="1"/>
  <c r="I87" i="7"/>
  <c r="J86" i="7"/>
  <c r="H60" i="7"/>
  <c r="H55" i="7"/>
  <c r="H57" i="7"/>
  <c r="H74" i="7"/>
  <c r="H49" i="7"/>
  <c r="H31" i="3"/>
  <c r="H80" i="7"/>
  <c r="J80" i="7" s="1"/>
  <c r="H82" i="7"/>
  <c r="H11" i="7"/>
  <c r="H10" i="7" s="1"/>
  <c r="H16" i="7"/>
  <c r="H15" i="7" s="1"/>
  <c r="I17" i="7"/>
  <c r="J17" i="7"/>
  <c r="J23" i="7"/>
  <c r="J27" i="7"/>
  <c r="I31" i="7"/>
  <c r="J31" i="7"/>
  <c r="I42" i="7"/>
  <c r="J42" i="7"/>
  <c r="I43" i="7"/>
  <c r="J43" i="7"/>
  <c r="I47" i="7"/>
  <c r="J47" i="7"/>
  <c r="I50" i="7"/>
  <c r="J50" i="7"/>
  <c r="J51" i="7"/>
  <c r="J52" i="7"/>
  <c r="J53" i="7"/>
  <c r="I56" i="7"/>
  <c r="J56" i="7"/>
  <c r="I58" i="7"/>
  <c r="J58" i="7"/>
  <c r="I63" i="7"/>
  <c r="J63" i="7"/>
  <c r="I64" i="7"/>
  <c r="J64" i="7"/>
  <c r="I65" i="7"/>
  <c r="J65" i="7"/>
  <c r="I67" i="7"/>
  <c r="J67" i="7"/>
  <c r="I70" i="7"/>
  <c r="J70" i="7"/>
  <c r="I72" i="7"/>
  <c r="J72" i="7"/>
  <c r="I81" i="7"/>
  <c r="J81" i="7"/>
  <c r="J83" i="7"/>
  <c r="I124" i="3"/>
  <c r="I126" i="3"/>
  <c r="I128" i="3"/>
  <c r="I130" i="3"/>
  <c r="I131" i="3"/>
  <c r="I134" i="3"/>
  <c r="I105" i="3"/>
  <c r="I107" i="3"/>
  <c r="I109" i="3"/>
  <c r="I111" i="3"/>
  <c r="I112" i="3"/>
  <c r="I115" i="3"/>
  <c r="I46" i="3"/>
  <c r="I52" i="3"/>
  <c r="I56" i="3"/>
  <c r="I59" i="3"/>
  <c r="I60" i="3"/>
  <c r="I61" i="3"/>
  <c r="I63" i="3"/>
  <c r="I65" i="3"/>
  <c r="I67" i="3"/>
  <c r="I68" i="3"/>
  <c r="I69" i="3"/>
  <c r="I71" i="3"/>
  <c r="I74" i="3"/>
  <c r="I75" i="3"/>
  <c r="I76" i="3"/>
  <c r="I77" i="3"/>
  <c r="I78" i="3"/>
  <c r="I15" i="3"/>
  <c r="I16" i="3"/>
  <c r="I19" i="3"/>
  <c r="I21" i="3"/>
  <c r="I24" i="3"/>
  <c r="I25" i="3"/>
  <c r="I26" i="3"/>
  <c r="I27" i="3"/>
  <c r="I28" i="3"/>
  <c r="I29" i="3"/>
  <c r="I30" i="3"/>
  <c r="I35" i="3"/>
  <c r="I36" i="3"/>
  <c r="I37" i="3"/>
  <c r="J124" i="3"/>
  <c r="J126" i="3"/>
  <c r="J128" i="3"/>
  <c r="J130" i="3"/>
  <c r="J131" i="3"/>
  <c r="J134" i="3"/>
  <c r="J105" i="3"/>
  <c r="J107" i="3"/>
  <c r="J109" i="3"/>
  <c r="J111" i="3"/>
  <c r="J112" i="3"/>
  <c r="J115" i="3"/>
  <c r="J46" i="3"/>
  <c r="J50" i="3"/>
  <c r="J52" i="3"/>
  <c r="J56" i="3"/>
  <c r="J59" i="3"/>
  <c r="J60" i="3"/>
  <c r="J61" i="3"/>
  <c r="J63" i="3"/>
  <c r="J64" i="3"/>
  <c r="J65" i="3"/>
  <c r="J67" i="3"/>
  <c r="J68" i="3"/>
  <c r="J69" i="3"/>
  <c r="J71" i="3"/>
  <c r="J74" i="3"/>
  <c r="J75" i="3"/>
  <c r="J76" i="3"/>
  <c r="J77" i="3"/>
  <c r="J78" i="3"/>
  <c r="J79" i="3"/>
  <c r="J81" i="3"/>
  <c r="J82" i="3"/>
  <c r="J83" i="3"/>
  <c r="J15" i="3"/>
  <c r="J16" i="3"/>
  <c r="J18" i="3"/>
  <c r="J19" i="3"/>
  <c r="J21" i="3"/>
  <c r="J24" i="3"/>
  <c r="J25" i="3"/>
  <c r="J26" i="3"/>
  <c r="J27" i="3"/>
  <c r="J28" i="3"/>
  <c r="J29" i="3"/>
  <c r="J30" i="3"/>
  <c r="J34" i="3"/>
  <c r="J35" i="3"/>
  <c r="J36" i="3"/>
  <c r="J37" i="3"/>
  <c r="J38" i="3"/>
  <c r="I80" i="7" l="1"/>
  <c r="F10" i="1"/>
  <c r="G10" i="1"/>
  <c r="G13" i="1"/>
  <c r="F14" i="1"/>
  <c r="F13" i="1" s="1"/>
  <c r="F16" i="1" s="1"/>
  <c r="G16" i="1"/>
  <c r="G31" i="1" s="1"/>
  <c r="F23" i="1"/>
  <c r="G23" i="1"/>
  <c r="G24" i="1"/>
  <c r="F39" i="1"/>
  <c r="G39" i="1"/>
  <c r="F24" i="1" l="1"/>
  <c r="F31" i="1"/>
  <c r="G22" i="3" l="1"/>
  <c r="J22" i="3" l="1"/>
  <c r="I22" i="3"/>
  <c r="J14" i="3"/>
  <c r="I14" i="3"/>
  <c r="G82" i="7"/>
  <c r="F82" i="7"/>
  <c r="E82" i="7"/>
  <c r="J82" i="7" l="1"/>
  <c r="H144" i="3"/>
  <c r="H39" i="1"/>
  <c r="E43" i="3"/>
  <c r="F32" i="3"/>
  <c r="H14" i="1"/>
  <c r="H143" i="3" l="1"/>
  <c r="G146" i="3"/>
  <c r="G24" i="7"/>
  <c r="G37" i="7"/>
  <c r="G38" i="7"/>
  <c r="G70" i="3"/>
  <c r="G30" i="7"/>
  <c r="G145" i="3" l="1"/>
  <c r="J146" i="3"/>
  <c r="I146" i="3"/>
  <c r="J143" i="3"/>
  <c r="I143" i="3"/>
  <c r="I121" i="3"/>
  <c r="J121" i="3"/>
  <c r="I30" i="7"/>
  <c r="J30" i="7"/>
  <c r="I37" i="7"/>
  <c r="J37" i="7"/>
  <c r="J24" i="7"/>
  <c r="I24" i="7"/>
  <c r="I38" i="7"/>
  <c r="J38" i="7"/>
  <c r="J26" i="7"/>
  <c r="I22" i="7"/>
  <c r="J22" i="7"/>
  <c r="H73" i="3"/>
  <c r="G36" i="7"/>
  <c r="G21" i="7"/>
  <c r="G20" i="7" s="1"/>
  <c r="H70" i="3"/>
  <c r="G74" i="7"/>
  <c r="G66" i="7"/>
  <c r="G62" i="7"/>
  <c r="G49" i="3"/>
  <c r="G61" i="7"/>
  <c r="G58" i="3"/>
  <c r="G55" i="7"/>
  <c r="G57" i="7"/>
  <c r="G57" i="3"/>
  <c r="G49" i="7"/>
  <c r="G16" i="7"/>
  <c r="G13" i="7"/>
  <c r="F12" i="7"/>
  <c r="G55" i="3"/>
  <c r="E74" i="7"/>
  <c r="E60" i="7"/>
  <c r="E66" i="7"/>
  <c r="E57" i="7"/>
  <c r="E55" i="7"/>
  <c r="E49" i="7"/>
  <c r="E80" i="7"/>
  <c r="E36" i="7"/>
  <c r="E35" i="7" s="1"/>
  <c r="E30" i="7"/>
  <c r="E29" i="7" s="1"/>
  <c r="E21" i="7"/>
  <c r="E20" i="7" s="1"/>
  <c r="E11" i="7"/>
  <c r="E10" i="7" s="1"/>
  <c r="E145" i="3"/>
  <c r="E144" i="3" s="1"/>
  <c r="E143" i="3" s="1"/>
  <c r="E111" i="3"/>
  <c r="E112" i="3"/>
  <c r="E109" i="3"/>
  <c r="E107" i="3"/>
  <c r="E115" i="3"/>
  <c r="E105" i="3"/>
  <c r="E102" i="3"/>
  <c r="E59" i="3"/>
  <c r="E50" i="3"/>
  <c r="E58" i="3"/>
  <c r="E49" i="3"/>
  <c r="E57" i="3"/>
  <c r="E55" i="3"/>
  <c r="E68" i="3"/>
  <c r="E46" i="3"/>
  <c r="E32" i="3"/>
  <c r="J36" i="7" l="1"/>
  <c r="J49" i="3"/>
  <c r="I49" i="3"/>
  <c r="G144" i="3"/>
  <c r="J145" i="3"/>
  <c r="I145" i="3"/>
  <c r="H51" i="3"/>
  <c r="I55" i="3"/>
  <c r="J55" i="3"/>
  <c r="I32" i="3"/>
  <c r="I57" i="3"/>
  <c r="J57" i="3"/>
  <c r="I58" i="3"/>
  <c r="J58" i="3"/>
  <c r="I20" i="7"/>
  <c r="J20" i="7"/>
  <c r="G12" i="7"/>
  <c r="J12" i="7" s="1"/>
  <c r="I13" i="7"/>
  <c r="J13" i="7"/>
  <c r="J57" i="7"/>
  <c r="I57" i="7"/>
  <c r="G35" i="7"/>
  <c r="I36" i="7"/>
  <c r="I49" i="7"/>
  <c r="J49" i="7"/>
  <c r="I62" i="7"/>
  <c r="J62" i="7"/>
  <c r="J25" i="7"/>
  <c r="J61" i="7"/>
  <c r="G60" i="7"/>
  <c r="I61" i="7"/>
  <c r="J74" i="7"/>
  <c r="I74" i="7"/>
  <c r="J55" i="7"/>
  <c r="I55" i="7"/>
  <c r="I66" i="7"/>
  <c r="J66" i="7"/>
  <c r="I21" i="7"/>
  <c r="J21" i="7"/>
  <c r="I29" i="7"/>
  <c r="J29" i="7"/>
  <c r="J70" i="3"/>
  <c r="I70" i="3"/>
  <c r="G11" i="7"/>
  <c r="I12" i="7"/>
  <c r="G15" i="7"/>
  <c r="J16" i="7"/>
  <c r="I16" i="7"/>
  <c r="H20" i="3"/>
  <c r="F74" i="7"/>
  <c r="F60" i="7"/>
  <c r="F66" i="7"/>
  <c r="F57" i="7"/>
  <c r="F55" i="7"/>
  <c r="F49" i="7"/>
  <c r="F80" i="7"/>
  <c r="F30" i="7"/>
  <c r="F29" i="7" s="1"/>
  <c r="F21" i="7"/>
  <c r="F20" i="7" s="1"/>
  <c r="F144" i="3"/>
  <c r="F143" i="3" s="1"/>
  <c r="F58" i="3"/>
  <c r="F31" i="3"/>
  <c r="F70" i="3"/>
  <c r="F112" i="3"/>
  <c r="F111" i="3"/>
  <c r="F109" i="3"/>
  <c r="F107" i="3"/>
  <c r="F115" i="3"/>
  <c r="F105" i="3"/>
  <c r="F124" i="3" s="1"/>
  <c r="F102" i="3"/>
  <c r="F52" i="3"/>
  <c r="F46" i="3"/>
  <c r="F59" i="3"/>
  <c r="F131" i="3" s="1"/>
  <c r="F69" i="3"/>
  <c r="F65" i="3"/>
  <c r="F49" i="3"/>
  <c r="F77" i="3"/>
  <c r="F57" i="3"/>
  <c r="F56" i="3"/>
  <c r="F126" i="3" s="1"/>
  <c r="F61" i="3"/>
  <c r="F134" i="3" s="1"/>
  <c r="F75" i="3"/>
  <c r="F73" i="3" s="1"/>
  <c r="F63" i="3"/>
  <c r="F55" i="3"/>
  <c r="F68" i="3"/>
  <c r="F17" i="3"/>
  <c r="I144" i="3" l="1"/>
  <c r="J144" i="3"/>
  <c r="J31" i="3"/>
  <c r="I31" i="3"/>
  <c r="I35" i="7"/>
  <c r="J35" i="7"/>
  <c r="G59" i="7"/>
  <c r="J60" i="7"/>
  <c r="I60" i="7"/>
  <c r="G10" i="7"/>
  <c r="J11" i="7"/>
  <c r="I11" i="7"/>
  <c r="I15" i="7"/>
  <c r="J15" i="7"/>
  <c r="F128" i="3"/>
  <c r="F127" i="3" s="1"/>
  <c r="F45" i="3"/>
  <c r="F51" i="3"/>
  <c r="F130" i="3"/>
  <c r="F129" i="3" s="1"/>
  <c r="F121" i="3"/>
  <c r="F120" i="3" s="1"/>
  <c r="H129" i="3"/>
  <c r="E129" i="3"/>
  <c r="H127" i="3"/>
  <c r="G127" i="3"/>
  <c r="E127" i="3"/>
  <c r="H125" i="3"/>
  <c r="G125" i="3"/>
  <c r="F125" i="3"/>
  <c r="E125" i="3"/>
  <c r="H133" i="3"/>
  <c r="G133" i="3"/>
  <c r="F133" i="3"/>
  <c r="E133" i="3"/>
  <c r="H120" i="3"/>
  <c r="E120" i="3"/>
  <c r="E110" i="3"/>
  <c r="H110" i="3"/>
  <c r="F110" i="3"/>
  <c r="E108" i="3"/>
  <c r="H108" i="3"/>
  <c r="G108" i="3"/>
  <c r="F108" i="3"/>
  <c r="H106" i="3"/>
  <c r="G106" i="3"/>
  <c r="F106" i="3"/>
  <c r="E106" i="3"/>
  <c r="H114" i="3"/>
  <c r="G114" i="3"/>
  <c r="F114" i="3"/>
  <c r="E114" i="3"/>
  <c r="H101" i="3"/>
  <c r="F101" i="3"/>
  <c r="E101" i="3"/>
  <c r="I127" i="3" l="1"/>
  <c r="J127" i="3"/>
  <c r="I108" i="3"/>
  <c r="J108" i="3"/>
  <c r="I129" i="3"/>
  <c r="J129" i="3"/>
  <c r="J110" i="3"/>
  <c r="I110" i="3"/>
  <c r="J125" i="3"/>
  <c r="I125" i="3"/>
  <c r="I106" i="3"/>
  <c r="J106" i="3"/>
  <c r="J133" i="3"/>
  <c r="I133" i="3"/>
  <c r="I114" i="3"/>
  <c r="J114" i="3"/>
  <c r="I10" i="7"/>
  <c r="J10" i="7"/>
  <c r="I120" i="3"/>
  <c r="J120" i="3"/>
  <c r="I101" i="3"/>
  <c r="J101" i="3"/>
  <c r="F119" i="3"/>
  <c r="H100" i="3"/>
  <c r="F100" i="3"/>
  <c r="H119" i="3"/>
  <c r="H14" i="7"/>
  <c r="G9" i="7"/>
  <c r="G14" i="7"/>
  <c r="H28" i="7"/>
  <c r="G34" i="7"/>
  <c r="H34" i="7"/>
  <c r="G41" i="7"/>
  <c r="G40" i="7" s="1"/>
  <c r="G39" i="7" s="1"/>
  <c r="H41" i="7"/>
  <c r="G46" i="7"/>
  <c r="G79" i="7" s="1"/>
  <c r="H46" i="7"/>
  <c r="G48" i="7"/>
  <c r="H48" i="7"/>
  <c r="G69" i="7"/>
  <c r="H69" i="7"/>
  <c r="G71" i="7"/>
  <c r="H71" i="7"/>
  <c r="G73" i="7"/>
  <c r="H73" i="7"/>
  <c r="H66" i="3"/>
  <c r="H62" i="3"/>
  <c r="H45" i="3"/>
  <c r="F66" i="3"/>
  <c r="H17" i="3"/>
  <c r="H13" i="3"/>
  <c r="G17" i="3"/>
  <c r="I20" i="3" l="1"/>
  <c r="J20" i="3"/>
  <c r="G72" i="3"/>
  <c r="I73" i="3"/>
  <c r="J73" i="3"/>
  <c r="J69" i="7"/>
  <c r="I69" i="7"/>
  <c r="H79" i="7"/>
  <c r="I79" i="7" s="1"/>
  <c r="I46" i="7"/>
  <c r="J46" i="7"/>
  <c r="I34" i="7"/>
  <c r="J34" i="7"/>
  <c r="J71" i="7"/>
  <c r="I71" i="7"/>
  <c r="H40" i="7"/>
  <c r="I41" i="7"/>
  <c r="J41" i="7"/>
  <c r="J28" i="7"/>
  <c r="I28" i="7"/>
  <c r="I66" i="3"/>
  <c r="J66" i="3"/>
  <c r="I17" i="3"/>
  <c r="J17" i="3"/>
  <c r="I73" i="7"/>
  <c r="J73" i="7"/>
  <c r="J51" i="3"/>
  <c r="I51" i="3"/>
  <c r="I45" i="3"/>
  <c r="I13" i="3"/>
  <c r="J13" i="3"/>
  <c r="J48" i="7"/>
  <c r="I48" i="7"/>
  <c r="J14" i="7"/>
  <c r="I14" i="7"/>
  <c r="I119" i="3"/>
  <c r="J119" i="3"/>
  <c r="I100" i="3"/>
  <c r="J100" i="3"/>
  <c r="I62" i="3"/>
  <c r="J62" i="3"/>
  <c r="H44" i="3"/>
  <c r="H68" i="7"/>
  <c r="G68" i="7"/>
  <c r="G39" i="3"/>
  <c r="J39" i="3" s="1"/>
  <c r="H54" i="7"/>
  <c r="G54" i="7"/>
  <c r="H59" i="7"/>
  <c r="H19" i="7"/>
  <c r="G19" i="7"/>
  <c r="G18" i="7" s="1"/>
  <c r="H8" i="7"/>
  <c r="G8" i="7"/>
  <c r="H9" i="7"/>
  <c r="I9" i="7" s="1"/>
  <c r="F82" i="3"/>
  <c r="E82" i="3"/>
  <c r="E13" i="3"/>
  <c r="E73" i="7"/>
  <c r="J79" i="7" l="1"/>
  <c r="H45" i="7"/>
  <c r="J45" i="7" s="1"/>
  <c r="H18" i="7"/>
  <c r="J18" i="7" s="1"/>
  <c r="I19" i="7"/>
  <c r="J19" i="7"/>
  <c r="H39" i="7"/>
  <c r="I40" i="7"/>
  <c r="J40" i="7"/>
  <c r="J68" i="7"/>
  <c r="I68" i="7"/>
  <c r="J59" i="7"/>
  <c r="I59" i="7"/>
  <c r="I54" i="7"/>
  <c r="J54" i="7"/>
  <c r="J9" i="7"/>
  <c r="I8" i="7"/>
  <c r="J8" i="7"/>
  <c r="I44" i="3"/>
  <c r="J44" i="3"/>
  <c r="G7" i="7"/>
  <c r="F72" i="3"/>
  <c r="E59" i="7"/>
  <c r="E54" i="7"/>
  <c r="E48" i="7"/>
  <c r="E79" i="7"/>
  <c r="E19" i="7"/>
  <c r="E28" i="7"/>
  <c r="E34" i="7"/>
  <c r="E14" i="7"/>
  <c r="E9" i="7"/>
  <c r="I23" i="1"/>
  <c r="H23" i="1"/>
  <c r="H13" i="1"/>
  <c r="I10" i="1"/>
  <c r="H10" i="1"/>
  <c r="I39" i="7" l="1"/>
  <c r="J39" i="7"/>
  <c r="I18" i="7"/>
  <c r="H44" i="7"/>
  <c r="I45" i="7"/>
  <c r="E18" i="7"/>
  <c r="E45" i="7"/>
  <c r="E44" i="7" s="1"/>
  <c r="H16" i="1"/>
  <c r="E8" i="7"/>
  <c r="H7" i="7" l="1"/>
  <c r="J44" i="7"/>
  <c r="I44" i="7"/>
  <c r="I39" i="1"/>
  <c r="E73" i="3"/>
  <c r="E72" i="3" s="1"/>
  <c r="E66" i="3"/>
  <c r="E62" i="3"/>
  <c r="E51" i="3"/>
  <c r="E45" i="3"/>
  <c r="E31" i="3"/>
  <c r="E23" i="3"/>
  <c r="E20" i="3"/>
  <c r="E17" i="3"/>
  <c r="J7" i="7" l="1"/>
  <c r="E12" i="3"/>
  <c r="E39" i="3" l="1"/>
  <c r="E11" i="3"/>
  <c r="F71" i="7"/>
  <c r="F69" i="7"/>
  <c r="F59" i="7"/>
  <c r="F46" i="7"/>
  <c r="F41" i="7"/>
  <c r="F40" i="7" s="1"/>
  <c r="F39" i="7" s="1"/>
  <c r="F34" i="7"/>
  <c r="F28" i="7"/>
  <c r="F19" i="7"/>
  <c r="F14" i="7"/>
  <c r="F54" i="7" l="1"/>
  <c r="F79" i="7"/>
  <c r="F8" i="7"/>
  <c r="F48" i="7"/>
  <c r="F73" i="7"/>
  <c r="F68" i="7"/>
  <c r="F9" i="7"/>
  <c r="F45" i="7" l="1"/>
  <c r="F44" i="7" s="1"/>
  <c r="F7" i="7" s="1"/>
  <c r="H89" i="3" l="1"/>
  <c r="H85" i="3"/>
  <c r="H86" i="3"/>
  <c r="H87" i="3"/>
  <c r="H88" i="3"/>
  <c r="H90" i="3"/>
  <c r="H91" i="3"/>
  <c r="F91" i="3"/>
  <c r="F90" i="3"/>
  <c r="F89" i="3"/>
  <c r="F88" i="3"/>
  <c r="F87" i="3"/>
  <c r="F86" i="3"/>
  <c r="F85" i="3"/>
  <c r="F92" i="3" l="1"/>
  <c r="H92" i="3"/>
  <c r="H72" i="3" l="1"/>
  <c r="F62" i="3"/>
  <c r="F44" i="3" s="1"/>
  <c r="F43" i="3" s="1"/>
  <c r="F25" i="3"/>
  <c r="F23" i="3" s="1"/>
  <c r="J72" i="3" l="1"/>
  <c r="H43" i="3"/>
  <c r="H23" i="3"/>
  <c r="F20" i="3"/>
  <c r="F13" i="3"/>
  <c r="F39" i="3" s="1"/>
  <c r="H12" i="3" l="1"/>
  <c r="J12" i="3" s="1"/>
  <c r="I23" i="3"/>
  <c r="J23" i="3"/>
  <c r="I12" i="3"/>
  <c r="I43" i="3"/>
  <c r="J43" i="3"/>
  <c r="H11" i="3" l="1"/>
  <c r="H39" i="3"/>
  <c r="J11" i="3"/>
  <c r="I39" i="3"/>
  <c r="F11" i="3"/>
</calcChain>
</file>

<file path=xl/sharedStrings.xml><?xml version="1.0" encoding="utf-8"?>
<sst xmlns="http://schemas.openxmlformats.org/spreadsheetml/2006/main" count="419" uniqueCount="190">
  <si>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</si>
  <si>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</si>
  <si>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</si>
  <si>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</si>
  <si>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</si>
  <si>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</si>
  <si>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</si>
  <si>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</si>
  <si>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</si>
  <si>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</si>
  <si>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</si>
  <si>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</si>
  <si>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</si>
  <si>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</si>
  <si>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</si>
  <si>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</si>
  <si>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</si>
  <si>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</si>
  <si>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</si>
  <si>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</si>
  <si>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</si>
  <si>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</si>
  <si>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</si>
  <si>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</si>
  <si>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</si>
  <si>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</si>
  <si>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</si>
  <si>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</si>
  <si>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</si>
  <si>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</si>
  <si>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</si>
  <si>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</si>
  <si>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</si>
  <si>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</si>
  <si>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</si>
  <si>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</si>
  <si>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</si>
  <si>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</si>
  <si>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Ostale pomoći - Ministarstvo</t>
  </si>
  <si>
    <t>Ostale pomoći - JLS (općine)</t>
  </si>
  <si>
    <t>Prihodi od upravnih i administrativnih pristojbi, pristojbi po posebnim propisima i naknada</t>
  </si>
  <si>
    <t>Prihodi od prodaje proizvoda i robe te pruženih usluga i prihodi od donacija</t>
  </si>
  <si>
    <t>Donacije</t>
  </si>
  <si>
    <t>Prihodi za posebne namjene</t>
  </si>
  <si>
    <t>Decentralizacija</t>
  </si>
  <si>
    <t>Vlastiti izvori</t>
  </si>
  <si>
    <t>Rezultat poslovanja</t>
  </si>
  <si>
    <t>Opći prihodi i primici - izvorna sredstva KZŽ</t>
  </si>
  <si>
    <t>Posebne namjene</t>
  </si>
  <si>
    <t>Ostale pomoći - JLS (Općine)</t>
  </si>
  <si>
    <t>Financijski rashodi</t>
  </si>
  <si>
    <t>Naknade građanima i kućanstvimana temelju osiguranja i dr. naknade</t>
  </si>
  <si>
    <t>opći prihodi i primici</t>
  </si>
  <si>
    <t>Višak - posebne namjene</t>
  </si>
  <si>
    <t>09 Obrazovanje</t>
  </si>
  <si>
    <t>091 Predškolsko i osnovno obrazovanje</t>
  </si>
  <si>
    <t>SVEUKUPNI PRIHOD ( 6 I 7)</t>
  </si>
  <si>
    <t>Višak -JLS</t>
  </si>
  <si>
    <t>UKUPNO:</t>
  </si>
  <si>
    <t>096 Dodatne usluge u obrazovaju</t>
  </si>
  <si>
    <t>PROGRAM J01</t>
  </si>
  <si>
    <t>OBRAZOVANJE</t>
  </si>
  <si>
    <t>Redovni poslovi ustanova osnovnog obrazovanja</t>
  </si>
  <si>
    <t>PRIHODI UKUPNO + VIŠAK</t>
  </si>
  <si>
    <t>5.2</t>
  </si>
  <si>
    <t>5.4</t>
  </si>
  <si>
    <t>4.3</t>
  </si>
  <si>
    <t>3.1</t>
  </si>
  <si>
    <t>1.1</t>
  </si>
  <si>
    <t>1.3</t>
  </si>
  <si>
    <t>OSNOVNO OBRAZOVANJE - ZAKONSKI STANDARD</t>
  </si>
  <si>
    <t>Izvor financiranja 1.3.</t>
  </si>
  <si>
    <t>Aktivnost T103000</t>
  </si>
  <si>
    <t>Oprema, informat., nabava pomagala OŠ</t>
  </si>
  <si>
    <t>PROGRAM 1003</t>
  </si>
  <si>
    <t>DOPUNSKI NASTAVNI I VANNASTAVNI PROGRAM ŠKOLA I OBRAZ.INSTIT.</t>
  </si>
  <si>
    <t>Izvor financiranja 1.1.</t>
  </si>
  <si>
    <t>Projekt Baltazar</t>
  </si>
  <si>
    <t xml:space="preserve">Rashodi za zaposlene </t>
  </si>
  <si>
    <t>Aktivnost T103019</t>
  </si>
  <si>
    <t>Projekt Školska shema</t>
  </si>
  <si>
    <t>Aktivnost A102001</t>
  </si>
  <si>
    <t>Financiranje - ostali rashodi OŠ</t>
  </si>
  <si>
    <t>Rashod za nabavu nefinancijske imovine</t>
  </si>
  <si>
    <t>Izvor financiranja 3.1.</t>
  </si>
  <si>
    <t>Izvor financiranja 4.3.</t>
  </si>
  <si>
    <t>Izvor financiranja 5.2.</t>
  </si>
  <si>
    <t>Ministarstvo</t>
  </si>
  <si>
    <t xml:space="preserve">Naknade građanima i kućanstvima na temelju osiguranja i druge naknade </t>
  </si>
  <si>
    <t>Izvor financiranja 5.3.</t>
  </si>
  <si>
    <t>Projekt EU</t>
  </si>
  <si>
    <t>Izvor financiranja 5.4.</t>
  </si>
  <si>
    <t>JLS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</si>
  <si>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</si>
  <si>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</si>
  <si>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</si>
  <si>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</si>
  <si>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</si>
  <si>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</si>
  <si>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</si>
  <si>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</si>
  <si>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</si>
  <si>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Višak - Donacije</t>
  </si>
  <si>
    <t>Višak - Vlastiti prihodi</t>
  </si>
  <si>
    <t xml:space="preserve">  1.1 Opći prihodi i primici</t>
  </si>
  <si>
    <t xml:space="preserve">  1.3 Decentralizacija</t>
  </si>
  <si>
    <t>1. Opći prihodi i primici</t>
  </si>
  <si>
    <t>3. Vlastiti prihodi</t>
  </si>
  <si>
    <t>4. Prihodi za posebne namjene</t>
  </si>
  <si>
    <t xml:space="preserve">  4.3 Ostali prihodi za posebne namjene</t>
  </si>
  <si>
    <t>5. Pomoći</t>
  </si>
  <si>
    <t xml:space="preserve">  5.4  Općina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</si>
  <si>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</si>
  <si>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</si>
  <si>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</si>
  <si>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</si>
  <si>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</si>
  <si>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</si>
  <si>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</si>
  <si>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</si>
  <si>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</si>
  <si>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</si>
  <si>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</si>
  <si>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</si>
  <si>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FInancijski rashodi</t>
  </si>
  <si>
    <t xml:space="preserve">  5.2 Ministarstvo </t>
  </si>
  <si>
    <t xml:space="preserve">  3.1 Vlastiti prihodi PK</t>
  </si>
  <si>
    <t xml:space="preserve">  5.2   Ministarstvo </t>
  </si>
  <si>
    <t>4. Rashodi za posebne namjene</t>
  </si>
  <si>
    <t>3. Vlastiti rashodi</t>
  </si>
  <si>
    <t>Ostali rashodi</t>
  </si>
  <si>
    <t>Rashodi za dodatna ulaganja na nefinancijskoj imovini</t>
  </si>
  <si>
    <t>Dopunski nastavni i vannastavni program škola i obraz. instit.</t>
  </si>
  <si>
    <t>DOPUNSKI NASTAVNI I VANNASTAVNI PROGRAM ŠKOLA I OBRAZ. INSTIT.</t>
  </si>
  <si>
    <t>Rashod za nabavu nef. imovine</t>
  </si>
  <si>
    <t>Rashodi za dodatna ulaganja na nef. imovini</t>
  </si>
  <si>
    <t>Izvršenje 2023.*</t>
  </si>
  <si>
    <t>Plan 2024.</t>
  </si>
  <si>
    <t>A1. PRIHODI I RASHODI POSLOVANJA  PREMA EKONOMSKOJ KLASIFIKACIJI</t>
  </si>
  <si>
    <t>A2.PRIHODI I RASHODI POSLOVANJA PREMA IZVORIMA FINANCIRANJA</t>
  </si>
  <si>
    <t>A3. RASHODI PREMA FUNKCIJSKOJ KLASIFIKACIJI</t>
  </si>
  <si>
    <t>B. RAČUN FINANCIRANJA</t>
  </si>
  <si>
    <t>B1. RAČUN FINANCIRANJA PREMA EKONOMSKOJ KLASIFIKACIJI</t>
  </si>
  <si>
    <t>B2. RAČUN FINANCIRANJA PREMA IZVORIMA FINANCIRANJA</t>
  </si>
  <si>
    <t>SVEUKUPNI RASHOD ( 3 i 4)</t>
  </si>
  <si>
    <t>-2550,08</t>
  </si>
  <si>
    <t>manjak - Ministarstvo</t>
  </si>
  <si>
    <t>6.2</t>
  </si>
  <si>
    <t xml:space="preserve">  6.2. Donacija PK</t>
  </si>
  <si>
    <t>6. Donacije</t>
  </si>
  <si>
    <t xml:space="preserve">  6.2 Donacija PK</t>
  </si>
  <si>
    <t>Izvor financiranja 6.2</t>
  </si>
  <si>
    <t>Ministarstvo - KZŽ (5.2.)</t>
  </si>
  <si>
    <t>Ministarstvo -prijenos EU (5.7)</t>
  </si>
  <si>
    <t>PROGRAM 1020</t>
  </si>
  <si>
    <t>-3000</t>
  </si>
  <si>
    <t>Opći prihodi i primici - Izvorna sredstva KZŽ</t>
  </si>
  <si>
    <t>KLASA:  400-02/24-01/03</t>
  </si>
  <si>
    <t>URBROJ: 2140-76/03-24-1</t>
  </si>
  <si>
    <t>5.7</t>
  </si>
  <si>
    <t>5.7.</t>
  </si>
  <si>
    <t>PROMJENA IZNOS</t>
  </si>
  <si>
    <t>PLAN ZA 2025.</t>
  </si>
  <si>
    <t>PROMJENA (%)</t>
  </si>
  <si>
    <t>I. IZMJENA 2025.</t>
  </si>
  <si>
    <t xml:space="preserve">I. IZMJENA I DOPUNA FINANCIJSKOG PLANA OSNOVNE ŠKOLE ANTUNA MIHANOVIĆA PETROVSKO </t>
  </si>
  <si>
    <t>ZA 2025. GODINU</t>
  </si>
  <si>
    <t>I. IZMJENA I DOPUNA FINANCIJSKOG PLANA OSNOVNE ŠKOLE ANTUNA MIHANOVIĆA PETROVSKO ZA 2025. GODINU</t>
  </si>
  <si>
    <t>RASPOLOŽIVA SREDSTVA IZ PRETHODNIH GODINA</t>
  </si>
  <si>
    <t>Ministartvo - prijenos EU PK</t>
  </si>
  <si>
    <t>1.1.</t>
  </si>
  <si>
    <t>Ministarstvo - PRIJENOS EU PK</t>
  </si>
  <si>
    <t xml:space="preserve">  1.1. Ministarstvo - KZŽ (5.2.)</t>
  </si>
  <si>
    <t xml:space="preserve">  1.1. Ministarstvo -prijenos EU (5.7)</t>
  </si>
  <si>
    <t xml:space="preserve">  5.7. Ministarstvo PRIJENOS EU PK</t>
  </si>
  <si>
    <t>Aktivnost A102002</t>
  </si>
  <si>
    <t>Izvor financiranja 5.7.</t>
  </si>
  <si>
    <t>Ministarstvo - prijenos EU PK</t>
  </si>
  <si>
    <t>Aktivnost T102001</t>
  </si>
  <si>
    <t xml:space="preserve">Dopunska sred. za mat. rashode i opremu škole </t>
  </si>
  <si>
    <t>Aktivnost T102007</t>
  </si>
  <si>
    <t>Aktivnost K1020106</t>
  </si>
  <si>
    <t>Rekonstrukcija i dogradnja OŠ Antuna Mihanovića Petrovsko</t>
  </si>
  <si>
    <t>PROGRAM 1021</t>
  </si>
  <si>
    <t>NPOO</t>
  </si>
  <si>
    <t>PROGRAM 1014</t>
  </si>
  <si>
    <t>Aktivnost A101701</t>
  </si>
  <si>
    <t xml:space="preserve">Opći prihodi i primici </t>
  </si>
  <si>
    <t>Predsjednica školskog odbora</t>
  </si>
  <si>
    <t>Tina Zorko, dipl. uč.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</si>
</sst>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left" vertical="center"/>
    </xf>
    <xf numFmtId="0" fontId="0" fillId="0" borderId="3" xfId="0" applyBorder="1"/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vertical="center" wrapText="1"/>
    </xf>
    <xf numFmtId="0" fontId="18" fillId="2" borderId="3" xfId="0" applyFont="1" applyFill="1" applyBorder="1" applyAlignment="1">
      <alignment horizontal="left" vertical="center"/>
    </xf>
    <xf numFmtId="4" fontId="0" fillId="0" borderId="3" xfId="0" applyNumberFormat="1" applyBorder="1"/>
    <xf numFmtId="4" fontId="17" fillId="0" borderId="3" xfId="0" applyNumberFormat="1" applyFont="1" applyBorder="1"/>
    <xf numFmtId="4" fontId="1" fillId="0" borderId="3" xfId="0" applyNumberFormat="1" applyFont="1" applyBorder="1"/>
    <xf numFmtId="4" fontId="6" fillId="6" borderId="3" xfId="0" applyNumberFormat="1" applyFont="1" applyFill="1" applyBorder="1" applyAlignment="1">
      <alignment horizontal="right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0" fontId="8" fillId="6" borderId="3" xfId="0" applyNumberFormat="1" applyFont="1" applyFill="1" applyBorder="1" applyAlignment="1" applyProtection="1">
      <alignment horizontal="left" vertical="center" wrapText="1"/>
    </xf>
    <xf numFmtId="0" fontId="10" fillId="6" borderId="3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0" fontId="10" fillId="6" borderId="3" xfId="0" applyNumberFormat="1" applyFont="1" applyFill="1" applyBorder="1" applyAlignment="1" applyProtection="1">
      <alignment horizontal="left" vertical="center"/>
    </xf>
    <xf numFmtId="0" fontId="8" fillId="7" borderId="3" xfId="0" quotePrefix="1" applyFont="1" applyFill="1" applyBorder="1" applyAlignment="1">
      <alignment horizontal="left" vertical="center" wrapText="1"/>
    </xf>
    <xf numFmtId="0" fontId="8" fillId="7" borderId="3" xfId="0" applyNumberFormat="1" applyFont="1" applyFill="1" applyBorder="1" applyAlignment="1" applyProtection="1">
      <alignment vertical="center" wrapText="1"/>
    </xf>
    <xf numFmtId="16" fontId="9" fillId="2" borderId="3" xfId="0" quotePrefix="1" applyNumberFormat="1" applyFont="1" applyFill="1" applyBorder="1" applyAlignment="1">
      <alignment horizontal="left" vertical="center"/>
    </xf>
    <xf numFmtId="0" fontId="9" fillId="2" borderId="3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4" fontId="8" fillId="7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10" fillId="6" borderId="3" xfId="0" applyNumberFormat="1" applyFont="1" applyFill="1" applyBorder="1" applyAlignment="1" applyProtection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4" fontId="8" fillId="7" borderId="3" xfId="0" applyNumberFormat="1" applyFont="1" applyFill="1" applyBorder="1" applyAlignment="1" applyProtection="1">
      <alignment vertical="center" wrapText="1"/>
    </xf>
    <xf numFmtId="4" fontId="8" fillId="2" borderId="3" xfId="0" quotePrefix="1" applyNumberFormat="1" applyFont="1" applyFill="1" applyBorder="1" applyAlignment="1">
      <alignment vertical="center"/>
    </xf>
    <xf numFmtId="4" fontId="10" fillId="5" borderId="3" xfId="0" applyNumberFormat="1" applyFont="1" applyFill="1" applyBorder="1" applyAlignment="1" applyProtection="1">
      <alignment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10" fillId="6" borderId="3" xfId="0" applyNumberFormat="1" applyFont="1" applyFill="1" applyBorder="1" applyAlignment="1" applyProtection="1">
      <alignment vertical="center" wrapText="1"/>
    </xf>
    <xf numFmtId="4" fontId="3" fillId="7" borderId="3" xfId="0" applyNumberFormat="1" applyFont="1" applyFill="1" applyBorder="1" applyAlignment="1">
      <alignment vertical="center"/>
    </xf>
    <xf numFmtId="4" fontId="16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8" fillId="7" borderId="3" xfId="0" quotePrefix="1" applyNumberFormat="1" applyFont="1" applyFill="1" applyBorder="1" applyAlignment="1">
      <alignment vertical="center" wrapText="1"/>
    </xf>
    <xf numFmtId="4" fontId="8" fillId="2" borderId="3" xfId="0" quotePrefix="1" applyNumberFormat="1" applyFont="1" applyFill="1" applyBorder="1" applyAlignment="1">
      <alignment vertical="center" wrapText="1"/>
    </xf>
    <xf numFmtId="4" fontId="8" fillId="7" borderId="3" xfId="0" quotePrefix="1" applyNumberFormat="1" applyFont="1" applyFill="1" applyBorder="1" applyAlignment="1">
      <alignment horizontal="right" vertical="center"/>
    </xf>
    <xf numFmtId="4" fontId="8" fillId="7" borderId="3" xfId="0" quotePrefix="1" applyNumberFormat="1" applyFont="1" applyFill="1" applyBorder="1" applyAlignment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4" fontId="6" fillId="2" borderId="4" xfId="0" applyNumberFormat="1" applyFont="1" applyFill="1" applyBorder="1" applyAlignment="1" applyProtection="1">
      <alignment horizontal="right" wrapText="1"/>
    </xf>
    <xf numFmtId="4" fontId="15" fillId="2" borderId="4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 applyProtection="1">
      <alignment horizontal="right" wrapText="1"/>
    </xf>
    <xf numFmtId="4" fontId="20" fillId="2" borderId="4" xfId="0" applyNumberFormat="1" applyFont="1" applyFill="1" applyBorder="1" applyAlignment="1" applyProtection="1">
      <alignment horizontal="right" wrapText="1"/>
    </xf>
    <xf numFmtId="4" fontId="3" fillId="7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16" fillId="2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vertical="center"/>
    </xf>
    <xf numFmtId="0" fontId="9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 applyProtection="1">
      <alignment vertical="center" wrapText="1"/>
    </xf>
    <xf numFmtId="0" fontId="10" fillId="7" borderId="3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4" fontId="10" fillId="7" borderId="3" xfId="0" applyNumberFormat="1" applyFont="1" applyFill="1" applyBorder="1" applyAlignment="1" applyProtection="1">
      <alignment horizontal="right" vertical="center" wrapText="1"/>
    </xf>
    <xf numFmtId="4" fontId="19" fillId="3" borderId="4" xfId="0" applyNumberFormat="1" applyFont="1" applyFill="1" applyBorder="1" applyAlignment="1" applyProtection="1">
      <alignment horizontal="right" wrapText="1"/>
    </xf>
    <xf numFmtId="4" fontId="19" fillId="3" borderId="3" xfId="0" applyNumberFormat="1" applyFont="1" applyFill="1" applyBorder="1" applyAlignment="1">
      <alignment horizontal="right"/>
    </xf>
    <xf numFmtId="4" fontId="19" fillId="6" borderId="4" xfId="0" applyNumberFormat="1" applyFont="1" applyFill="1" applyBorder="1" applyAlignment="1" applyProtection="1">
      <alignment horizontal="right" wrapText="1"/>
    </xf>
    <xf numFmtId="4" fontId="19" fillId="6" borderId="3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 applyProtection="1">
      <alignment horizontal="right" wrapText="1"/>
    </xf>
    <xf numFmtId="4" fontId="19" fillId="7" borderId="4" xfId="0" applyNumberFormat="1" applyFont="1" applyFill="1" applyBorder="1" applyAlignment="1" applyProtection="1">
      <alignment horizontal="right" wrapText="1"/>
    </xf>
    <xf numFmtId="4" fontId="19" fillId="7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" fillId="0" borderId="0" xfId="0" applyFo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2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3" fillId="2" borderId="3" xfId="0" quotePrefix="1" applyNumberFormat="1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3" xfId="0" applyNumberFormat="1" applyFont="1" applyFill="1" applyBorder="1" applyAlignment="1" applyProtection="1">
      <alignment horizontal="left" vertical="center"/>
    </xf>
    <xf numFmtId="2" fontId="3" fillId="2" borderId="3" xfId="0" quotePrefix="1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10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10" fillId="4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27" fillId="0" borderId="5" xfId="0" applyFont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0" fontId="17" fillId="0" borderId="0" xfId="0" applyFont="1"/>
    <xf numFmtId="2" fontId="17" fillId="0" borderId="0" xfId="0" applyNumberFormat="1" applyFont="1"/>
    <xf numFmtId="2" fontId="8" fillId="0" borderId="0" xfId="0" applyNumberFormat="1" applyFont="1" applyFill="1" applyBorder="1" applyAlignment="1" applyProtection="1">
      <alignment vertical="center" wrapText="1"/>
    </xf>
    <xf numFmtId="4" fontId="10" fillId="4" borderId="3" xfId="0" applyNumberFormat="1" applyFont="1" applyFill="1" applyBorder="1" applyAlignment="1" applyProtection="1">
      <alignment horizontal="center" vertical="center" wrapText="1"/>
    </xf>
    <xf numFmtId="4" fontId="10" fillId="6" borderId="3" xfId="0" applyNumberFormat="1" applyFont="1" applyFill="1" applyBorder="1" applyAlignment="1">
      <alignment horizontal="right"/>
    </xf>
    <xf numFmtId="4" fontId="8" fillId="7" borderId="3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vertical="center"/>
    </xf>
    <xf numFmtId="4" fontId="8" fillId="5" borderId="3" xfId="0" applyNumberFormat="1" applyFont="1" applyFill="1" applyBorder="1" applyAlignment="1">
      <alignment vertical="center"/>
    </xf>
    <xf numFmtId="4" fontId="10" fillId="6" borderId="3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4" fontId="10" fillId="4" borderId="3" xfId="0" applyNumberFormat="1" applyFont="1" applyFill="1" applyBorder="1" applyAlignment="1" applyProtection="1">
      <alignment horizontal="right"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4" fontId="8" fillId="7" borderId="3" xfId="0" applyNumberFormat="1" applyFont="1" applyFill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right" vertical="center"/>
    </xf>
    <xf numFmtId="4" fontId="27" fillId="0" borderId="3" xfId="0" applyNumberFormat="1" applyFont="1" applyBorder="1"/>
    <xf numFmtId="4" fontId="10" fillId="6" borderId="4" xfId="0" applyNumberFormat="1" applyFont="1" applyFill="1" applyBorder="1" applyAlignment="1" applyProtection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 applyProtection="1">
      <alignment vertical="center" wrapText="1"/>
    </xf>
    <xf numFmtId="0" fontId="0" fillId="3" borderId="3" xfId="0" applyFill="1" applyBorder="1"/>
    <xf numFmtId="10" fontId="0" fillId="0" borderId="3" xfId="0" applyNumberFormat="1" applyBorder="1"/>
    <xf numFmtId="10" fontId="1" fillId="6" borderId="3" xfId="0" applyNumberFormat="1" applyFont="1" applyFill="1" applyBorder="1"/>
    <xf numFmtId="4" fontId="1" fillId="6" borderId="3" xfId="0" applyNumberFormat="1" applyFont="1" applyFill="1" applyBorder="1"/>
    <xf numFmtId="10" fontId="1" fillId="4" borderId="3" xfId="0" applyNumberFormat="1" applyFont="1" applyFill="1" applyBorder="1"/>
    <xf numFmtId="4" fontId="1" fillId="4" borderId="3" xfId="0" applyNumberFormat="1" applyFont="1" applyFill="1" applyBorder="1"/>
    <xf numFmtId="10" fontId="0" fillId="7" borderId="3" xfId="0" applyNumberFormat="1" applyFill="1" applyBorder="1" applyAlignment="1">
      <alignment vertical="center"/>
    </xf>
    <xf numFmtId="4" fontId="0" fillId="7" borderId="3" xfId="0" applyNumberFormat="1" applyFill="1" applyBorder="1" applyAlignment="1">
      <alignment vertical="center"/>
    </xf>
    <xf numFmtId="10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10" fontId="1" fillId="0" borderId="3" xfId="0" applyNumberFormat="1" applyFont="1" applyBorder="1"/>
    <xf numFmtId="10" fontId="0" fillId="0" borderId="3" xfId="0" applyNumberFormat="1" applyBorder="1" applyAlignment="1">
      <alignment horizontal="right"/>
    </xf>
    <xf numFmtId="10" fontId="0" fillId="0" borderId="3" xfId="0" applyNumberFormat="1" applyBorder="1" applyAlignment="1"/>
    <xf numFmtId="4" fontId="0" fillId="0" borderId="3" xfId="0" applyNumberFormat="1" applyBorder="1" applyAlignment="1"/>
    <xf numFmtId="0" fontId="0" fillId="0" borderId="0" xfId="0" applyAlignment="1"/>
    <xf numFmtId="0" fontId="0" fillId="0" borderId="0" xfId="0" applyAlignment="1">
      <alignment vertical="center"/>
    </xf>
    <xf numFmtId="10" fontId="1" fillId="6" borderId="3" xfId="0" applyNumberFormat="1" applyFont="1" applyFill="1" applyBorder="1" applyAlignment="1">
      <alignment vertical="center"/>
    </xf>
    <xf numFmtId="4" fontId="1" fillId="6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</xf>
    <xf numFmtId="0" fontId="19" fillId="3" borderId="4" xfId="0" applyNumberFormat="1" applyFont="1" applyFill="1" applyBorder="1" applyAlignment="1" applyProtection="1">
      <alignment horizontal="left" wrapText="1"/>
    </xf>
    <xf numFmtId="10" fontId="1" fillId="3" borderId="3" xfId="0" applyNumberFormat="1" applyFont="1" applyFill="1" applyBorder="1" applyAlignment="1"/>
    <xf numFmtId="4" fontId="1" fillId="3" borderId="3" xfId="0" applyNumberFormat="1" applyFont="1" applyFill="1" applyBorder="1" applyAlignment="1"/>
    <xf numFmtId="0" fontId="6" fillId="7" borderId="4" xfId="0" applyNumberFormat="1" applyFont="1" applyFill="1" applyBorder="1" applyAlignment="1" applyProtection="1">
      <alignment horizontal="left" wrapText="1"/>
    </xf>
    <xf numFmtId="10" fontId="1" fillId="7" borderId="3" xfId="0" applyNumberFormat="1" applyFont="1" applyFill="1" applyBorder="1" applyAlignment="1"/>
    <xf numFmtId="4" fontId="1" fillId="7" borderId="3" xfId="0" applyNumberFormat="1" applyFont="1" applyFill="1" applyBorder="1" applyAlignment="1"/>
    <xf numFmtId="4" fontId="6" fillId="7" borderId="3" xfId="0" applyNumberFormat="1" applyFont="1" applyFill="1" applyBorder="1" applyAlignment="1">
      <alignment horizontal="right" vertical="center"/>
    </xf>
    <xf numFmtId="10" fontId="0" fillId="7" borderId="3" xfId="0" applyNumberFormat="1" applyFill="1" applyBorder="1" applyAlignment="1"/>
    <xf numFmtId="4" fontId="0" fillId="7" borderId="3" xfId="0" applyNumberFormat="1" applyFill="1" applyBorder="1" applyAlignment="1"/>
    <xf numFmtId="0" fontId="19" fillId="6" borderId="4" xfId="0" applyNumberFormat="1" applyFont="1" applyFill="1" applyBorder="1" applyAlignment="1" applyProtection="1">
      <alignment horizontal="left" wrapText="1"/>
    </xf>
    <xf numFmtId="10" fontId="1" fillId="6" borderId="3" xfId="0" applyNumberFormat="1" applyFont="1" applyFill="1" applyBorder="1" applyAlignment="1"/>
    <xf numFmtId="4" fontId="1" fillId="6" borderId="3" xfId="0" applyNumberFormat="1" applyFont="1" applyFill="1" applyBorder="1" applyAlignment="1"/>
    <xf numFmtId="10" fontId="0" fillId="6" borderId="3" xfId="0" applyNumberFormat="1" applyFill="1" applyBorder="1" applyAlignment="1">
      <alignment vertical="center"/>
    </xf>
    <xf numFmtId="4" fontId="0" fillId="6" borderId="3" xfId="0" applyNumberFormat="1" applyFill="1" applyBorder="1" applyAlignment="1">
      <alignment vertical="center"/>
    </xf>
    <xf numFmtId="4" fontId="10" fillId="7" borderId="3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 applyProtection="1">
      <alignment horizontal="right" vertical="center" wrapText="1"/>
    </xf>
    <xf numFmtId="4" fontId="6" fillId="6" borderId="3" xfId="0" applyNumberFormat="1" applyFont="1" applyFill="1" applyBorder="1" applyAlignment="1" applyProtection="1">
      <alignment horizontal="right" vertical="center" wrapText="1"/>
    </xf>
    <xf numFmtId="4" fontId="6" fillId="6" borderId="3" xfId="0" applyNumberFormat="1" applyFont="1" applyFill="1" applyBorder="1" applyAlignment="1" applyProtection="1">
      <alignment horizontal="center" vertical="center" wrapText="1"/>
    </xf>
    <xf numFmtId="4" fontId="10" fillId="6" borderId="3" xfId="0" applyNumberFormat="1" applyFont="1" applyFill="1" applyBorder="1" applyAlignment="1" applyProtection="1">
      <alignment horizontal="center" vertical="center" wrapText="1"/>
    </xf>
    <xf numFmtId="4" fontId="6" fillId="7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10" fillId="7" borderId="4" xfId="0" applyNumberFormat="1" applyFont="1" applyFill="1" applyBorder="1" applyAlignment="1">
      <alignment horizontal="right" vertical="center"/>
    </xf>
    <xf numFmtId="0" fontId="6" fillId="4" borderId="3" xfId="0" applyNumberFormat="1" applyFont="1" applyFill="1" applyBorder="1" applyAlignment="1" applyProtection="1">
      <alignment horizontal="center" wrapText="1"/>
    </xf>
    <xf numFmtId="0" fontId="6" fillId="4" borderId="4" xfId="0" applyNumberFormat="1" applyFont="1" applyFill="1" applyBorder="1" applyAlignment="1" applyProtection="1">
      <alignment horizontal="center" wrapText="1"/>
    </xf>
    <xf numFmtId="0" fontId="10" fillId="4" borderId="3" xfId="0" applyNumberFormat="1" applyFont="1" applyFill="1" applyBorder="1" applyAlignment="1" applyProtection="1">
      <alignment horizontal="center" wrapText="1"/>
    </xf>
    <xf numFmtId="10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2" fontId="10" fillId="6" borderId="3" xfId="0" applyNumberFormat="1" applyFont="1" applyFill="1" applyBorder="1" applyAlignment="1" applyProtection="1">
      <alignment horizontal="right" vertical="center" wrapText="1"/>
    </xf>
    <xf numFmtId="2" fontId="6" fillId="6" borderId="3" xfId="0" applyNumberFormat="1" applyFont="1" applyFill="1" applyBorder="1" applyAlignment="1">
      <alignment horizontal="right" vertical="center"/>
    </xf>
    <xf numFmtId="2" fontId="10" fillId="6" borderId="3" xfId="0" applyNumberFormat="1" applyFont="1" applyFill="1" applyBorder="1" applyAlignment="1">
      <alignment horizontal="right" vertical="center"/>
    </xf>
    <xf numFmtId="2" fontId="10" fillId="7" borderId="3" xfId="0" applyNumberFormat="1" applyFont="1" applyFill="1" applyBorder="1" applyAlignment="1" applyProtection="1">
      <alignment horizontal="right" vertical="center" wrapText="1"/>
    </xf>
    <xf numFmtId="2" fontId="6" fillId="7" borderId="3" xfId="0" applyNumberFormat="1" applyFont="1" applyFill="1" applyBorder="1" applyAlignment="1">
      <alignment horizontal="right" vertical="center"/>
    </xf>
    <xf numFmtId="2" fontId="10" fillId="7" borderId="3" xfId="0" applyNumberFormat="1" applyFont="1" applyFill="1" applyBorder="1" applyAlignment="1">
      <alignment horizontal="right" vertical="center"/>
    </xf>
    <xf numFmtId="2" fontId="9" fillId="2" borderId="3" xfId="0" quotePrefix="1" applyNumberFormat="1" applyFont="1" applyFill="1" applyBorder="1" applyAlignment="1">
      <alignment horizontal="right" vertical="center" wrapText="1"/>
    </xf>
    <xf numFmtId="2" fontId="15" fillId="2" borderId="3" xfId="0" applyNumberFormat="1" applyFont="1" applyFill="1" applyBorder="1" applyAlignment="1">
      <alignment horizontal="right" vertical="center"/>
    </xf>
    <xf numFmtId="2" fontId="9" fillId="2" borderId="3" xfId="0" applyNumberFormat="1" applyFont="1" applyFill="1" applyBorder="1" applyAlignment="1">
      <alignment horizontal="right" vertical="center"/>
    </xf>
    <xf numFmtId="2" fontId="10" fillId="2" borderId="3" xfId="0" applyNumberFormat="1" applyFont="1" applyFill="1" applyBorder="1" applyAlignment="1" applyProtection="1">
      <alignment horizontal="right" vertical="center" wrapText="1"/>
    </xf>
    <xf numFmtId="2" fontId="6" fillId="2" borderId="3" xfId="0" applyNumberFormat="1" applyFont="1" applyFill="1" applyBorder="1" applyAlignment="1">
      <alignment horizontal="right" vertical="center"/>
    </xf>
    <xf numFmtId="2" fontId="10" fillId="2" borderId="3" xfId="0" applyNumberFormat="1" applyFont="1" applyFill="1" applyBorder="1" applyAlignment="1">
      <alignment horizontal="right" vertical="center"/>
    </xf>
    <xf numFmtId="2" fontId="8" fillId="2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/>
    </xf>
    <xf numFmtId="2" fontId="8" fillId="2" borderId="3" xfId="0" applyNumberFormat="1" applyFont="1" applyFill="1" applyBorder="1" applyAlignment="1">
      <alignment horizontal="right" vertical="center"/>
    </xf>
    <xf numFmtId="0" fontId="15" fillId="2" borderId="4" xfId="0" applyNumberFormat="1" applyFont="1" applyFill="1" applyBorder="1" applyAlignment="1" applyProtection="1">
      <alignment horizontal="left" wrapText="1"/>
    </xf>
    <xf numFmtId="0" fontId="6" fillId="2" borderId="4" xfId="0" applyNumberFormat="1" applyFont="1" applyFill="1" applyBorder="1" applyAlignment="1" applyProtection="1">
      <alignment horizontal="left" wrapText="1"/>
    </xf>
    <xf numFmtId="0" fontId="19" fillId="7" borderId="4" xfId="0" applyNumberFormat="1" applyFont="1" applyFill="1" applyBorder="1" applyAlignment="1" applyProtection="1">
      <alignment horizontal="left" wrapText="1"/>
    </xf>
    <xf numFmtId="0" fontId="20" fillId="2" borderId="4" xfId="0" applyNumberFormat="1" applyFont="1" applyFill="1" applyBorder="1" applyAlignment="1" applyProtection="1">
      <alignment horizontal="left" wrapText="1"/>
    </xf>
    <xf numFmtId="10" fontId="1" fillId="0" borderId="3" xfId="0" applyNumberFormat="1" applyFont="1" applyBorder="1" applyAlignment="1"/>
    <xf numFmtId="4" fontId="1" fillId="0" borderId="3" xfId="0" applyNumberFormat="1" applyFont="1" applyBorder="1" applyAlignment="1"/>
    <xf numFmtId="2" fontId="3" fillId="2" borderId="4" xfId="0" applyNumberFormat="1" applyFont="1" applyFill="1" applyBorder="1" applyAlignment="1" applyProtection="1">
      <alignment horizontal="left" wrapText="1"/>
    </xf>
    <xf numFmtId="10" fontId="0" fillId="2" borderId="3" xfId="0" applyNumberFormat="1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>
      <alignment horizontal="right"/>
    </xf>
    <xf numFmtId="10" fontId="0" fillId="3" borderId="3" xfId="0" applyNumberFormat="1" applyFill="1" applyBorder="1" applyAlignment="1"/>
    <xf numFmtId="4" fontId="0" fillId="3" borderId="3" xfId="0" applyNumberFormat="1" applyFill="1" applyBorder="1" applyAlignment="1"/>
    <xf numFmtId="4" fontId="0" fillId="3" borderId="3" xfId="0" applyNumberFormat="1" applyFill="1" applyBorder="1"/>
    <xf numFmtId="4" fontId="0" fillId="2" borderId="3" xfId="0" applyNumberFormat="1" applyFill="1" applyBorder="1"/>
    <xf numFmtId="4" fontId="10" fillId="4" borderId="3" xfId="0" quotePrefix="1" applyNumberFormat="1" applyFont="1" applyFill="1" applyBorder="1" applyAlignment="1">
      <alignment horizontal="right"/>
    </xf>
    <xf numFmtId="4" fontId="10" fillId="2" borderId="3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0" fillId="2" borderId="1" xfId="0" quotePrefix="1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4" xfId="0" applyNumberFormat="1" applyFont="1" applyFill="1" applyBorder="1" applyAlignment="1" applyProtection="1">
      <alignment horizontal="left" wrapText="1"/>
    </xf>
    <xf numFmtId="0" fontId="20" fillId="2" borderId="1" xfId="0" applyNumberFormat="1" applyFont="1" applyFill="1" applyBorder="1" applyAlignment="1" applyProtection="1">
      <alignment horizontal="left" wrapText="1"/>
    </xf>
    <xf numFmtId="0" fontId="20" fillId="2" borderId="2" xfId="0" applyNumberFormat="1" applyFont="1" applyFill="1" applyBorder="1" applyAlignment="1" applyProtection="1">
      <alignment horizontal="left" wrapText="1"/>
    </xf>
    <xf numFmtId="0" fontId="20" fillId="2" borderId="4" xfId="0" applyNumberFormat="1" applyFont="1" applyFill="1" applyBorder="1" applyAlignment="1" applyProtection="1">
      <alignment horizontal="left" wrapText="1"/>
    </xf>
    <xf numFmtId="0" fontId="19" fillId="7" borderId="1" xfId="0" applyNumberFormat="1" applyFont="1" applyFill="1" applyBorder="1" applyAlignment="1" applyProtection="1">
      <alignment horizontal="left" wrapText="1"/>
    </xf>
    <xf numFmtId="0" fontId="19" fillId="7" borderId="2" xfId="0" applyNumberFormat="1" applyFont="1" applyFill="1" applyBorder="1" applyAlignment="1" applyProtection="1">
      <alignment horizontal="left" wrapText="1"/>
    </xf>
    <xf numFmtId="0" fontId="19" fillId="7" borderId="4" xfId="0" applyNumberFormat="1" applyFont="1" applyFill="1" applyBorder="1" applyAlignment="1" applyProtection="1">
      <alignment horizontal="left" wrapText="1"/>
    </xf>
    <xf numFmtId="0" fontId="19" fillId="3" borderId="1" xfId="0" applyNumberFormat="1" applyFont="1" applyFill="1" applyBorder="1" applyAlignment="1" applyProtection="1">
      <alignment horizontal="left" wrapText="1"/>
    </xf>
    <xf numFmtId="0" fontId="19" fillId="3" borderId="2" xfId="0" applyNumberFormat="1" applyFont="1" applyFill="1" applyBorder="1" applyAlignment="1" applyProtection="1">
      <alignment horizontal="left" wrapText="1"/>
    </xf>
    <xf numFmtId="0" fontId="19" fillId="3" borderId="4" xfId="0" applyNumberFormat="1" applyFont="1" applyFill="1" applyBorder="1" applyAlignment="1" applyProtection="1">
      <alignment horizontal="left" wrapText="1"/>
    </xf>
    <xf numFmtId="0" fontId="6" fillId="2" borderId="1" xfId="0" applyNumberFormat="1" applyFont="1" applyFill="1" applyBorder="1" applyAlignment="1" applyProtection="1">
      <alignment horizontal="left" wrapText="1"/>
    </xf>
    <xf numFmtId="0" fontId="6" fillId="2" borderId="2" xfId="0" applyNumberFormat="1" applyFont="1" applyFill="1" applyBorder="1" applyAlignment="1" applyProtection="1">
      <alignment horizontal="left" wrapText="1"/>
    </xf>
    <xf numFmtId="0" fontId="6" fillId="2" borderId="4" xfId="0" applyNumberFormat="1" applyFont="1" applyFill="1" applyBorder="1" applyAlignment="1" applyProtection="1">
      <alignment horizontal="left" wrapText="1"/>
    </xf>
    <xf numFmtId="0" fontId="15" fillId="2" borderId="1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>
      <alignment horizontal="left" wrapText="1"/>
    </xf>
    <xf numFmtId="0" fontId="15" fillId="2" borderId="4" xfId="0" applyNumberFormat="1" applyFont="1" applyFill="1" applyBorder="1" applyAlignment="1" applyProtection="1">
      <alignment horizontal="left" wrapText="1"/>
    </xf>
    <xf numFmtId="0" fontId="6" fillId="7" borderId="1" xfId="0" applyNumberFormat="1" applyFont="1" applyFill="1" applyBorder="1" applyAlignment="1" applyProtection="1">
      <alignment horizontal="left" wrapText="1"/>
    </xf>
    <xf numFmtId="0" fontId="6" fillId="7" borderId="2" xfId="0" applyNumberFormat="1" applyFont="1" applyFill="1" applyBorder="1" applyAlignment="1" applyProtection="1">
      <alignment horizontal="left" wrapText="1"/>
    </xf>
    <xf numFmtId="0" fontId="6" fillId="7" borderId="4" xfId="0" applyNumberFormat="1" applyFont="1" applyFill="1" applyBorder="1" applyAlignment="1" applyProtection="1">
      <alignment horizontal="left" wrapText="1"/>
    </xf>
    <xf numFmtId="0" fontId="6" fillId="4" borderId="1" xfId="0" applyNumberFormat="1" applyFont="1" applyFill="1" applyBorder="1" applyAlignment="1" applyProtection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0" fontId="19" fillId="6" borderId="1" xfId="0" applyNumberFormat="1" applyFont="1" applyFill="1" applyBorder="1" applyAlignment="1" applyProtection="1">
      <alignment horizontal="left" wrapText="1"/>
    </xf>
    <xf numFmtId="0" fontId="19" fillId="6" borderId="2" xfId="0" applyNumberFormat="1" applyFont="1" applyFill="1" applyBorder="1" applyAlignment="1" applyProtection="1">
      <alignment horizontal="left" wrapText="1"/>
    </xf>
    <xf numFmtId="0" fontId="19" fillId="6" borderId="4" xfId="0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workbookViewId="0">
      <selection activeCell="A7" sqref="A7:K7"/>
    </sheetView>
  </sheetViews>
  <sheetFormatPr defaultRowHeight="15" x14ac:dyDescent="0.25"/>
  <cols>
    <col min="5" max="5" width="17.28515625" customWidth="1"/>
    <col min="6" max="6" width="17.28515625" hidden="1" customWidth="1"/>
    <col min="7" max="7" width="19" style="30" hidden="1" customWidth="1"/>
    <col min="8" max="8" width="21.42578125" style="30" customWidth="1"/>
    <col min="9" max="9" width="23.7109375" style="145" customWidth="1"/>
    <col min="10" max="10" width="16.7109375" customWidth="1"/>
    <col min="11" max="11" width="18.42578125" customWidth="1"/>
    <col min="12" max="12" width="13.28515625" customWidth="1"/>
  </cols>
  <sheetData>
    <row r="1" spans="1:11" ht="18" customHeight="1" x14ac:dyDescent="0.25">
      <c r="A1" s="269" t="s">
        <v>165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8" customHeight="1" x14ac:dyDescent="0.25">
      <c r="A2" s="270" t="s">
        <v>166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t="18" x14ac:dyDescent="0.25">
      <c r="A3" s="114"/>
      <c r="B3" s="114"/>
      <c r="C3" s="114"/>
      <c r="D3" s="114"/>
      <c r="E3" s="114"/>
      <c r="F3" s="114"/>
      <c r="G3" s="114"/>
      <c r="H3" s="114"/>
      <c r="I3" s="132"/>
    </row>
    <row r="4" spans="1:11" ht="15.75" customHeight="1" x14ac:dyDescent="0.25">
      <c r="A4" s="262" t="s">
        <v>23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11" ht="18" customHeight="1" x14ac:dyDescent="0.25">
      <c r="A5" s="266" t="s">
        <v>157</v>
      </c>
      <c r="B5" s="266"/>
      <c r="C5" s="266"/>
      <c r="D5" s="266"/>
      <c r="E5" s="266"/>
      <c r="F5" s="17"/>
      <c r="G5" s="17"/>
      <c r="H5" s="17"/>
      <c r="I5" s="139"/>
    </row>
    <row r="6" spans="1:11" ht="16.5" customHeight="1" x14ac:dyDescent="0.25">
      <c r="A6" s="266" t="s">
        <v>158</v>
      </c>
      <c r="B6" s="266"/>
      <c r="C6" s="266"/>
      <c r="D6" s="266"/>
      <c r="E6" s="266"/>
      <c r="F6" s="17"/>
      <c r="G6" s="17"/>
      <c r="I6" s="139"/>
    </row>
    <row r="7" spans="1:11" ht="15.75" customHeight="1" x14ac:dyDescent="0.25">
      <c r="A7" s="262" t="s">
        <v>31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ht="18" x14ac:dyDescent="0.25">
      <c r="A8" s="1"/>
      <c r="B8" s="2"/>
      <c r="C8" s="2"/>
      <c r="D8" s="2"/>
      <c r="E8" s="5"/>
      <c r="F8" s="76"/>
      <c r="G8" s="76"/>
      <c r="H8" s="76"/>
      <c r="I8" s="140"/>
    </row>
    <row r="9" spans="1:11" ht="35.25" customHeight="1" x14ac:dyDescent="0.25">
      <c r="A9" s="21"/>
      <c r="B9" s="22"/>
      <c r="C9" s="22"/>
      <c r="D9" s="23"/>
      <c r="E9" s="24"/>
      <c r="F9" s="14" t="s">
        <v>136</v>
      </c>
      <c r="G9" s="14" t="s">
        <v>137</v>
      </c>
      <c r="H9" s="14" t="s">
        <v>162</v>
      </c>
      <c r="I9" s="138" t="s">
        <v>161</v>
      </c>
      <c r="J9" s="14" t="s">
        <v>163</v>
      </c>
      <c r="K9" s="14" t="s">
        <v>164</v>
      </c>
    </row>
    <row r="10" spans="1:11" x14ac:dyDescent="0.25">
      <c r="A10" s="259" t="s">
        <v>0</v>
      </c>
      <c r="B10" s="251"/>
      <c r="C10" s="251"/>
      <c r="D10" s="251"/>
      <c r="E10" s="265"/>
      <c r="F10" s="117">
        <f>F11+F12</f>
        <v>848917.07</v>
      </c>
      <c r="G10" s="117">
        <f t="shared" ref="G10:I10" si="0">G11+G12</f>
        <v>1031252.02</v>
      </c>
      <c r="H10" s="117">
        <f t="shared" si="0"/>
        <v>1262149.29</v>
      </c>
      <c r="I10" s="141">
        <f t="shared" si="0"/>
        <v>10844.760000000009</v>
      </c>
      <c r="J10" s="238">
        <f>I10/H10*100</f>
        <v>0.85922957655825394</v>
      </c>
      <c r="K10" s="238">
        <f>K11</f>
        <v>1272994.05</v>
      </c>
    </row>
    <row r="11" spans="1:11" x14ac:dyDescent="0.25">
      <c r="A11" s="271" t="s">
        <v>112</v>
      </c>
      <c r="B11" s="268"/>
      <c r="C11" s="268"/>
      <c r="D11" s="268"/>
      <c r="E11" s="247"/>
      <c r="F11" s="118">
        <v>848917.07</v>
      </c>
      <c r="G11" s="118">
        <v>1031252.02</v>
      </c>
      <c r="H11" s="118">
        <v>1262149.29</v>
      </c>
      <c r="I11" s="142">
        <f>K11-H11</f>
        <v>10844.760000000009</v>
      </c>
      <c r="J11" s="239">
        <f>I11/H11*100</f>
        <v>0.85922957655825394</v>
      </c>
      <c r="K11" s="35">
        <v>1272994.05</v>
      </c>
    </row>
    <row r="12" spans="1:11" x14ac:dyDescent="0.25">
      <c r="A12" s="264" t="s">
        <v>113</v>
      </c>
      <c r="B12" s="247"/>
      <c r="C12" s="247"/>
      <c r="D12" s="247"/>
      <c r="E12" s="247"/>
      <c r="F12" s="118">
        <v>0</v>
      </c>
      <c r="G12" s="118">
        <v>0</v>
      </c>
      <c r="H12" s="118">
        <v>0</v>
      </c>
      <c r="I12" s="142">
        <v>0</v>
      </c>
      <c r="J12" s="239">
        <v>0</v>
      </c>
      <c r="K12" s="35">
        <v>0</v>
      </c>
    </row>
    <row r="13" spans="1:11" x14ac:dyDescent="0.25">
      <c r="A13" s="25" t="s">
        <v>1</v>
      </c>
      <c r="B13" s="54"/>
      <c r="C13" s="54"/>
      <c r="D13" s="54"/>
      <c r="E13" s="54"/>
      <c r="F13" s="117">
        <f>F14+F15</f>
        <v>847028.32</v>
      </c>
      <c r="G13" s="117">
        <f t="shared" ref="G13:H13" si="1">G14+G15</f>
        <v>1024226.97</v>
      </c>
      <c r="H13" s="117">
        <f t="shared" si="1"/>
        <v>1260449.29</v>
      </c>
      <c r="I13" s="141">
        <f>I14+I15</f>
        <v>6498.3200000001088</v>
      </c>
      <c r="J13" s="238">
        <f t="shared" ref="J13:J16" si="2">I13/H13*100</f>
        <v>0.51555584596347459</v>
      </c>
      <c r="K13" s="238">
        <f>K14+K15</f>
        <v>1266947.6100000001</v>
      </c>
    </row>
    <row r="14" spans="1:11" x14ac:dyDescent="0.25">
      <c r="A14" s="267" t="s">
        <v>114</v>
      </c>
      <c r="B14" s="268"/>
      <c r="C14" s="268"/>
      <c r="D14" s="268"/>
      <c r="E14" s="268"/>
      <c r="F14" s="118">
        <f>847028.32-F15</f>
        <v>836351.77999999991</v>
      </c>
      <c r="G14" s="118">
        <v>1017626.97</v>
      </c>
      <c r="H14" s="118">
        <f>1260449.29-131740</f>
        <v>1128709.29</v>
      </c>
      <c r="I14" s="142">
        <f>K14-H14</f>
        <v>9177.8700000001118</v>
      </c>
      <c r="J14" s="239">
        <f t="shared" si="2"/>
        <v>0.81312965892219347</v>
      </c>
      <c r="K14" s="35">
        <f>1266947.61-K15</f>
        <v>1137887.1600000001</v>
      </c>
    </row>
    <row r="15" spans="1:11" x14ac:dyDescent="0.25">
      <c r="A15" s="246" t="s">
        <v>115</v>
      </c>
      <c r="B15" s="247"/>
      <c r="C15" s="247"/>
      <c r="D15" s="247"/>
      <c r="E15" s="247"/>
      <c r="F15" s="119">
        <v>10676.54</v>
      </c>
      <c r="G15" s="119">
        <v>6600</v>
      </c>
      <c r="H15" s="119">
        <v>131740</v>
      </c>
      <c r="I15" s="143">
        <f>K15-H15</f>
        <v>-2679.5500000000029</v>
      </c>
      <c r="J15" s="239">
        <f t="shared" si="2"/>
        <v>-2.0339684226506778</v>
      </c>
      <c r="K15" s="35">
        <v>129060.45</v>
      </c>
    </row>
    <row r="16" spans="1:11" x14ac:dyDescent="0.25">
      <c r="A16" s="250" t="s">
        <v>2</v>
      </c>
      <c r="B16" s="251"/>
      <c r="C16" s="251"/>
      <c r="D16" s="251"/>
      <c r="E16" s="251"/>
      <c r="F16" s="117">
        <f>F10-F13</f>
        <v>1888.75</v>
      </c>
      <c r="G16" s="117">
        <f>G10-G13</f>
        <v>7025.0500000000466</v>
      </c>
      <c r="H16" s="117">
        <f t="shared" ref="H16" si="3">H10-H13</f>
        <v>1700</v>
      </c>
      <c r="I16" s="141">
        <f>K16-H16</f>
        <v>4346.4399999999441</v>
      </c>
      <c r="J16" s="238">
        <f t="shared" si="2"/>
        <v>255.67294117646728</v>
      </c>
      <c r="K16" s="238">
        <f>K10-K13</f>
        <v>6046.4399999999441</v>
      </c>
    </row>
    <row r="17" spans="1:12" ht="18" x14ac:dyDescent="0.25">
      <c r="A17" s="17"/>
      <c r="B17" s="16"/>
      <c r="C17" s="16"/>
      <c r="D17" s="16"/>
      <c r="E17" s="16"/>
      <c r="F17" s="16"/>
      <c r="G17" s="16"/>
      <c r="H17" s="77"/>
      <c r="I17" s="82"/>
    </row>
    <row r="18" spans="1:12" ht="15.75" customHeight="1" x14ac:dyDescent="0.25">
      <c r="A18" s="262" t="s">
        <v>32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</row>
    <row r="19" spans="1:12" ht="18" x14ac:dyDescent="0.25">
      <c r="A19" s="17"/>
      <c r="B19" s="16"/>
      <c r="C19" s="16"/>
      <c r="D19" s="16"/>
      <c r="E19" s="16"/>
      <c r="F19" s="16"/>
      <c r="G19" s="16"/>
      <c r="H19" s="77"/>
      <c r="I19" s="82"/>
      <c r="L19" s="116"/>
    </row>
    <row r="20" spans="1:12" ht="30.75" customHeight="1" x14ac:dyDescent="0.25">
      <c r="A20" s="21"/>
      <c r="B20" s="22"/>
      <c r="C20" s="22"/>
      <c r="D20" s="23"/>
      <c r="E20" s="24"/>
      <c r="F20" s="14" t="s">
        <v>136</v>
      </c>
      <c r="G20" s="14" t="s">
        <v>137</v>
      </c>
      <c r="H20" s="14" t="s">
        <v>162</v>
      </c>
      <c r="I20" s="138" t="s">
        <v>161</v>
      </c>
      <c r="J20" s="14" t="s">
        <v>163</v>
      </c>
      <c r="K20" s="14" t="s">
        <v>164</v>
      </c>
    </row>
    <row r="21" spans="1:12" x14ac:dyDescent="0.25">
      <c r="A21" s="246" t="s">
        <v>116</v>
      </c>
      <c r="B21" s="247"/>
      <c r="C21" s="247"/>
      <c r="D21" s="247"/>
      <c r="E21" s="247"/>
      <c r="F21" s="119">
        <v>0</v>
      </c>
      <c r="G21" s="119">
        <v>0</v>
      </c>
      <c r="H21" s="119">
        <v>0</v>
      </c>
      <c r="I21" s="143">
        <v>0</v>
      </c>
      <c r="J21" s="26">
        <v>0</v>
      </c>
      <c r="K21" s="26">
        <v>0</v>
      </c>
    </row>
    <row r="22" spans="1:12" x14ac:dyDescent="0.25">
      <c r="A22" s="246" t="s">
        <v>117</v>
      </c>
      <c r="B22" s="247"/>
      <c r="C22" s="247"/>
      <c r="D22" s="247"/>
      <c r="E22" s="247"/>
      <c r="F22" s="119">
        <v>0</v>
      </c>
      <c r="G22" s="119">
        <v>0</v>
      </c>
      <c r="H22" s="119">
        <v>0</v>
      </c>
      <c r="I22" s="143">
        <v>0</v>
      </c>
      <c r="J22" s="26">
        <v>0</v>
      </c>
      <c r="K22" s="26">
        <v>0</v>
      </c>
    </row>
    <row r="23" spans="1:12" x14ac:dyDescent="0.25">
      <c r="A23" s="250" t="s">
        <v>4</v>
      </c>
      <c r="B23" s="251"/>
      <c r="C23" s="251"/>
      <c r="D23" s="251"/>
      <c r="E23" s="251"/>
      <c r="F23" s="117">
        <f>F21-F22</f>
        <v>0</v>
      </c>
      <c r="G23" s="117">
        <f t="shared" ref="G23:I23" si="4">G21-G22</f>
        <v>0</v>
      </c>
      <c r="H23" s="117">
        <f t="shared" si="4"/>
        <v>0</v>
      </c>
      <c r="I23" s="141">
        <f t="shared" si="4"/>
        <v>0</v>
      </c>
      <c r="J23" s="162">
        <v>0</v>
      </c>
      <c r="K23" s="162">
        <v>0</v>
      </c>
    </row>
    <row r="24" spans="1:12" x14ac:dyDescent="0.25">
      <c r="A24" s="250" t="s">
        <v>5</v>
      </c>
      <c r="B24" s="251"/>
      <c r="C24" s="251"/>
      <c r="D24" s="251"/>
      <c r="E24" s="251"/>
      <c r="F24" s="117">
        <f>F16+F23</f>
        <v>1888.75</v>
      </c>
      <c r="G24" s="117">
        <f>G16+G23</f>
        <v>7025.0500000000466</v>
      </c>
      <c r="H24" s="117">
        <v>0</v>
      </c>
      <c r="I24" s="141">
        <v>0</v>
      </c>
      <c r="J24" s="162">
        <v>0</v>
      </c>
      <c r="K24" s="162">
        <v>0</v>
      </c>
    </row>
    <row r="25" spans="1:12" ht="18" x14ac:dyDescent="0.25">
      <c r="A25" s="15"/>
      <c r="B25" s="16"/>
      <c r="C25" s="16"/>
      <c r="D25" s="16"/>
      <c r="E25" s="16"/>
      <c r="F25" s="16"/>
      <c r="G25" s="16"/>
      <c r="H25" s="77"/>
      <c r="I25" s="82"/>
    </row>
    <row r="26" spans="1:12" ht="15.75" customHeight="1" x14ac:dyDescent="0.25">
      <c r="A26" s="262" t="s">
        <v>118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spans="1:12" ht="15.75" x14ac:dyDescent="0.25">
      <c r="A27" s="52"/>
      <c r="B27" s="53"/>
      <c r="C27" s="53"/>
      <c r="D27" s="53"/>
      <c r="E27" s="53"/>
      <c r="F27" s="53"/>
      <c r="G27" s="53"/>
      <c r="H27" s="53"/>
      <c r="I27" s="79"/>
    </row>
    <row r="28" spans="1:12" ht="33" customHeight="1" x14ac:dyDescent="0.25">
      <c r="A28" s="21"/>
      <c r="B28" s="22"/>
      <c r="C28" s="22"/>
      <c r="D28" s="23"/>
      <c r="E28" s="24"/>
      <c r="F28" s="14" t="s">
        <v>136</v>
      </c>
      <c r="G28" s="14" t="s">
        <v>137</v>
      </c>
      <c r="H28" s="14" t="s">
        <v>162</v>
      </c>
      <c r="I28" s="138" t="s">
        <v>161</v>
      </c>
      <c r="J28" s="14" t="s">
        <v>163</v>
      </c>
      <c r="K28" s="14" t="s">
        <v>164</v>
      </c>
    </row>
    <row r="29" spans="1:12" x14ac:dyDescent="0.25">
      <c r="A29" s="243" t="s">
        <v>168</v>
      </c>
      <c r="B29" s="244"/>
      <c r="C29" s="244"/>
      <c r="D29" s="244"/>
      <c r="E29" s="245"/>
      <c r="F29" s="120">
        <v>15812.84</v>
      </c>
      <c r="G29" s="120">
        <v>7025.05</v>
      </c>
      <c r="H29" s="120">
        <v>4700</v>
      </c>
      <c r="I29" s="120">
        <v>0</v>
      </c>
      <c r="J29" s="120">
        <v>4700</v>
      </c>
      <c r="K29" s="240">
        <v>4700</v>
      </c>
    </row>
    <row r="30" spans="1:12" ht="21.75" customHeight="1" x14ac:dyDescent="0.25">
      <c r="A30" s="257" t="s">
        <v>120</v>
      </c>
      <c r="B30" s="258"/>
      <c r="C30" s="258"/>
      <c r="D30" s="258"/>
      <c r="E30" s="258"/>
      <c r="F30" s="121">
        <v>7025.05</v>
      </c>
      <c r="G30" s="121">
        <v>4700</v>
      </c>
      <c r="H30" s="121">
        <v>4700</v>
      </c>
      <c r="I30" s="121">
        <v>0</v>
      </c>
      <c r="J30" s="121">
        <v>4700</v>
      </c>
      <c r="K30" s="241">
        <v>4700</v>
      </c>
    </row>
    <row r="31" spans="1:12" ht="26.25" customHeight="1" x14ac:dyDescent="0.25">
      <c r="A31" s="259" t="s">
        <v>121</v>
      </c>
      <c r="B31" s="260"/>
      <c r="C31" s="260"/>
      <c r="D31" s="260"/>
      <c r="E31" s="261"/>
      <c r="F31" s="122">
        <f>F16+F23+F29-F30</f>
        <v>10676.54</v>
      </c>
      <c r="G31" s="122">
        <f t="shared" ref="G31" si="5">G16+G23+G29-G30</f>
        <v>9350.1000000000458</v>
      </c>
      <c r="H31" s="122">
        <f>H16+H23+H29-H30</f>
        <v>1700</v>
      </c>
      <c r="I31" s="122">
        <f t="shared" ref="I31:K31" si="6">I16+I23+I29-I30</f>
        <v>4346.4399999999441</v>
      </c>
      <c r="J31" s="122">
        <f t="shared" si="6"/>
        <v>255.67294117646725</v>
      </c>
      <c r="K31" s="242">
        <f t="shared" si="6"/>
        <v>6046.4399999999441</v>
      </c>
    </row>
    <row r="32" spans="1:12" ht="15.75" x14ac:dyDescent="0.25">
      <c r="A32" s="78"/>
      <c r="B32" s="79"/>
      <c r="C32" s="79"/>
      <c r="D32" s="79"/>
      <c r="E32" s="79"/>
      <c r="F32" s="79"/>
      <c r="G32" s="79"/>
      <c r="H32" s="79"/>
      <c r="I32" s="79"/>
    </row>
    <row r="33" spans="1:11" ht="15.75" hidden="1" x14ac:dyDescent="0.25">
      <c r="A33" s="263" t="s">
        <v>122</v>
      </c>
      <c r="B33" s="263"/>
      <c r="C33" s="263"/>
      <c r="D33" s="263"/>
      <c r="E33" s="263"/>
      <c r="F33" s="263"/>
      <c r="G33" s="263"/>
      <c r="H33" s="263"/>
      <c r="I33" s="263"/>
    </row>
    <row r="34" spans="1:11" ht="18" hidden="1" x14ac:dyDescent="0.25">
      <c r="A34" s="80"/>
      <c r="B34" s="81"/>
      <c r="C34" s="81"/>
      <c r="D34" s="81"/>
      <c r="E34" s="81"/>
      <c r="F34" s="81"/>
      <c r="G34" s="81"/>
      <c r="H34" s="82"/>
      <c r="I34" s="82"/>
    </row>
    <row r="35" spans="1:11" ht="38.25" hidden="1" customHeight="1" x14ac:dyDescent="0.25">
      <c r="A35" s="83"/>
      <c r="B35" s="84"/>
      <c r="C35" s="84"/>
      <c r="D35" s="85"/>
      <c r="E35" s="86"/>
      <c r="F35" s="14" t="s">
        <v>136</v>
      </c>
      <c r="G35" s="14" t="s">
        <v>137</v>
      </c>
      <c r="H35" s="14" t="s">
        <v>162</v>
      </c>
      <c r="I35" s="138" t="s">
        <v>161</v>
      </c>
      <c r="J35" s="14" t="s">
        <v>163</v>
      </c>
      <c r="K35" s="14" t="s">
        <v>164</v>
      </c>
    </row>
    <row r="36" spans="1:11" hidden="1" x14ac:dyDescent="0.25">
      <c r="A36" s="243" t="s">
        <v>119</v>
      </c>
      <c r="B36" s="244"/>
      <c r="C36" s="244"/>
      <c r="D36" s="244"/>
      <c r="E36" s="245"/>
      <c r="F36" s="120">
        <v>15812.84</v>
      </c>
      <c r="G36" s="120">
        <v>7025.05</v>
      </c>
      <c r="H36" s="120">
        <v>7025.05</v>
      </c>
      <c r="I36" s="120">
        <v>0</v>
      </c>
      <c r="J36" s="26"/>
      <c r="K36" s="26"/>
    </row>
    <row r="37" spans="1:11" ht="27" hidden="1" customHeight="1" x14ac:dyDescent="0.25">
      <c r="A37" s="252" t="s">
        <v>3</v>
      </c>
      <c r="B37" s="253"/>
      <c r="C37" s="253"/>
      <c r="D37" s="253"/>
      <c r="E37" s="254"/>
      <c r="F37" s="121">
        <v>10676.54</v>
      </c>
      <c r="G37" s="121">
        <v>9350.1</v>
      </c>
      <c r="H37" s="121">
        <v>7025.05</v>
      </c>
      <c r="I37" s="121">
        <v>0</v>
      </c>
      <c r="J37" s="26"/>
      <c r="K37" s="26"/>
    </row>
    <row r="38" spans="1:11" hidden="1" x14ac:dyDescent="0.25">
      <c r="A38" s="252" t="s">
        <v>123</v>
      </c>
      <c r="B38" s="255"/>
      <c r="C38" s="255"/>
      <c r="D38" s="255"/>
      <c r="E38" s="256"/>
      <c r="F38" s="121">
        <v>1888.75</v>
      </c>
      <c r="G38" s="121">
        <v>7025.05</v>
      </c>
      <c r="H38" s="121">
        <v>0</v>
      </c>
      <c r="I38" s="121">
        <v>0</v>
      </c>
      <c r="J38" s="26"/>
      <c r="K38" s="26"/>
    </row>
    <row r="39" spans="1:11" hidden="1" x14ac:dyDescent="0.25">
      <c r="A39" s="250" t="s">
        <v>120</v>
      </c>
      <c r="B39" s="251"/>
      <c r="C39" s="251"/>
      <c r="D39" s="251"/>
      <c r="E39" s="251"/>
      <c r="F39" s="123">
        <f>F36-F37+F38</f>
        <v>7025.0499999999993</v>
      </c>
      <c r="G39" s="123">
        <f t="shared" ref="G39:I39" si="7">G36-G37+G38</f>
        <v>4700</v>
      </c>
      <c r="H39" s="123">
        <f>H36-H37+H38</f>
        <v>0</v>
      </c>
      <c r="I39" s="122">
        <f t="shared" si="7"/>
        <v>0</v>
      </c>
      <c r="J39" s="26"/>
      <c r="K39" s="26"/>
    </row>
    <row r="40" spans="1:11" x14ac:dyDescent="0.25">
      <c r="G40"/>
      <c r="H40"/>
      <c r="I40" s="144"/>
    </row>
    <row r="41" spans="1:11" x14ac:dyDescent="0.25">
      <c r="A41" s="248"/>
      <c r="B41" s="249"/>
      <c r="C41" s="249"/>
      <c r="D41" s="249"/>
      <c r="E41" s="249"/>
      <c r="F41" s="249"/>
      <c r="G41" s="249"/>
      <c r="H41" s="249"/>
      <c r="I41" s="249"/>
    </row>
    <row r="42" spans="1:11" x14ac:dyDescent="0.25">
      <c r="G42"/>
      <c r="H42"/>
      <c r="I42" s="144"/>
    </row>
  </sheetData>
  <mergeCells count="27">
    <mergeCell ref="A5:E5"/>
    <mergeCell ref="A6:E6"/>
    <mergeCell ref="A15:E15"/>
    <mergeCell ref="A14:E14"/>
    <mergeCell ref="A1:K1"/>
    <mergeCell ref="A2:K2"/>
    <mergeCell ref="A4:K4"/>
    <mergeCell ref="A7:K7"/>
    <mergeCell ref="A11:E11"/>
    <mergeCell ref="A16:E16"/>
    <mergeCell ref="A18:K18"/>
    <mergeCell ref="A33:I33"/>
    <mergeCell ref="A12:E12"/>
    <mergeCell ref="A10:E10"/>
    <mergeCell ref="A36:E36"/>
    <mergeCell ref="A21:E21"/>
    <mergeCell ref="A41:I41"/>
    <mergeCell ref="A24:E24"/>
    <mergeCell ref="A39:E39"/>
    <mergeCell ref="A29:E29"/>
    <mergeCell ref="A37:E37"/>
    <mergeCell ref="A38:E38"/>
    <mergeCell ref="A30:E30"/>
    <mergeCell ref="A31:E31"/>
    <mergeCell ref="A26:K26"/>
    <mergeCell ref="A22:E22"/>
    <mergeCell ref="A23:E23"/>
  </mergeCells>
  <pageMargins left="1.2204724409448819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topLeftCell="A7" zoomScale="115" zoomScaleNormal="11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customWidth="1"/>
    <col min="4" max="4" width="34.28515625" customWidth="1"/>
    <col min="5" max="5" width="21.140625" hidden="1" customWidth="1"/>
    <col min="6" max="6" width="20.140625" style="30" hidden="1" customWidth="1"/>
    <col min="7" max="7" width="22.42578125" style="30" customWidth="1"/>
    <col min="8" max="8" width="22.140625" style="145" customWidth="1"/>
    <col min="9" max="9" width="14" customWidth="1"/>
    <col min="10" max="10" width="18.140625" customWidth="1"/>
  </cols>
  <sheetData>
    <row r="1" spans="1:11" ht="36.75" customHeight="1" x14ac:dyDescent="0.25">
      <c r="A1" s="269" t="s">
        <v>165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8" customHeight="1" x14ac:dyDescent="0.25">
      <c r="A2" s="270" t="s">
        <v>166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t="18" customHeight="1" x14ac:dyDescent="0.25">
      <c r="A3" s="114"/>
      <c r="B3" s="114"/>
      <c r="C3" s="114"/>
      <c r="D3" s="114"/>
      <c r="E3" s="114"/>
      <c r="F3" s="114"/>
      <c r="G3" s="114"/>
      <c r="H3" s="132"/>
    </row>
    <row r="4" spans="1:11" ht="15" customHeight="1" x14ac:dyDescent="0.25">
      <c r="A4" s="262" t="s">
        <v>23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ht="18" x14ac:dyDescent="0.25">
      <c r="A5" s="3"/>
      <c r="B5" s="3"/>
      <c r="C5" s="3"/>
      <c r="D5" s="3"/>
      <c r="E5" s="17"/>
      <c r="F5" s="29"/>
      <c r="G5" s="29"/>
      <c r="H5" s="146"/>
    </row>
    <row r="6" spans="1:11" ht="18" customHeight="1" x14ac:dyDescent="0.25">
      <c r="A6" s="262" t="s">
        <v>7</v>
      </c>
      <c r="B6" s="262"/>
      <c r="C6" s="262"/>
      <c r="D6" s="262"/>
      <c r="E6" s="262"/>
      <c r="F6" s="262"/>
      <c r="G6" s="262"/>
      <c r="H6" s="262"/>
      <c r="I6" s="262"/>
      <c r="J6" s="262"/>
    </row>
    <row r="7" spans="1:11" ht="18" x14ac:dyDescent="0.25">
      <c r="A7" s="3"/>
      <c r="B7" s="3"/>
      <c r="C7" s="3"/>
      <c r="D7" s="3"/>
      <c r="E7" s="17"/>
      <c r="F7" s="29"/>
      <c r="G7" s="29"/>
      <c r="H7" s="146"/>
    </row>
    <row r="8" spans="1:11" ht="15.75" customHeight="1" x14ac:dyDescent="0.25">
      <c r="A8" s="262" t="s">
        <v>138</v>
      </c>
      <c r="B8" s="262"/>
      <c r="C8" s="262"/>
      <c r="D8" s="262"/>
      <c r="E8" s="262"/>
      <c r="F8" s="262"/>
      <c r="G8" s="262"/>
      <c r="H8" s="262"/>
      <c r="I8" s="262"/>
      <c r="J8" s="262"/>
    </row>
    <row r="9" spans="1:11" ht="18" x14ac:dyDescent="0.25">
      <c r="A9" s="3"/>
      <c r="B9" s="3"/>
      <c r="C9" s="3"/>
      <c r="D9" s="3"/>
      <c r="E9" s="17"/>
      <c r="F9" s="29"/>
      <c r="G9" s="29"/>
      <c r="H9" s="146"/>
    </row>
    <row r="10" spans="1:11" ht="30.75" customHeight="1" x14ac:dyDescent="0.25">
      <c r="A10" s="14" t="s">
        <v>8</v>
      </c>
      <c r="B10" s="13" t="s">
        <v>9</v>
      </c>
      <c r="C10" s="13" t="s">
        <v>10</v>
      </c>
      <c r="D10" s="13" t="s">
        <v>6</v>
      </c>
      <c r="E10" s="14" t="s">
        <v>136</v>
      </c>
      <c r="F10" s="14" t="s">
        <v>137</v>
      </c>
      <c r="G10" s="14" t="s">
        <v>162</v>
      </c>
      <c r="H10" s="138" t="s">
        <v>161</v>
      </c>
      <c r="I10" s="14" t="s">
        <v>163</v>
      </c>
      <c r="J10" s="14" t="s">
        <v>164</v>
      </c>
    </row>
    <row r="11" spans="1:11" x14ac:dyDescent="0.25">
      <c r="A11" s="14"/>
      <c r="B11" s="272" t="s">
        <v>56</v>
      </c>
      <c r="C11" s="273"/>
      <c r="D11" s="274"/>
      <c r="E11" s="75">
        <f>E12</f>
        <v>848917.07000000007</v>
      </c>
      <c r="F11" s="31">
        <f>F12+F25</f>
        <v>1017201.92</v>
      </c>
      <c r="G11" s="31">
        <f>G12</f>
        <v>1257924.29</v>
      </c>
      <c r="H11" s="147">
        <f>H12+H25</f>
        <v>5902.65</v>
      </c>
      <c r="I11" s="166">
        <f>H11/G11</f>
        <v>4.6923730203190525E-3</v>
      </c>
      <c r="J11" s="167">
        <f>G11+H11</f>
        <v>1263826.94</v>
      </c>
    </row>
    <row r="12" spans="1:11" ht="15.75" customHeight="1" x14ac:dyDescent="0.25">
      <c r="A12" s="6">
        <v>6</v>
      </c>
      <c r="B12" s="40">
        <v>6</v>
      </c>
      <c r="C12" s="40"/>
      <c r="D12" s="40" t="s">
        <v>11</v>
      </c>
      <c r="E12" s="57">
        <f>E13+E17+E20+E23</f>
        <v>848917.07000000007</v>
      </c>
      <c r="F12" s="38">
        <v>1017201.92</v>
      </c>
      <c r="G12" s="38">
        <f>G13+G17+G20+G23</f>
        <v>1257924.29</v>
      </c>
      <c r="H12" s="148">
        <f>H13+H17+H20+H23</f>
        <v>5902.65</v>
      </c>
      <c r="I12" s="164">
        <f t="shared" ref="I12:I39" si="0">H12/G12</f>
        <v>4.6923730203190525E-3</v>
      </c>
      <c r="J12" s="165">
        <f t="shared" ref="J12:J38" si="1">G12+H12</f>
        <v>1263826.94</v>
      </c>
    </row>
    <row r="13" spans="1:11" ht="27" customHeight="1" x14ac:dyDescent="0.25">
      <c r="A13" s="6"/>
      <c r="B13" s="39">
        <v>63</v>
      </c>
      <c r="C13" s="39"/>
      <c r="D13" s="39" t="s">
        <v>34</v>
      </c>
      <c r="E13" s="59">
        <f>E14+E15</f>
        <v>769150.58</v>
      </c>
      <c r="F13" s="64">
        <f>SUM(F14:F15)</f>
        <v>946844.98</v>
      </c>
      <c r="G13" s="64">
        <f>SUM(G14:G16)</f>
        <v>1185705</v>
      </c>
      <c r="H13" s="149">
        <f t="shared" ref="H13" si="2">SUM(H14:H15)</f>
        <v>1418</v>
      </c>
      <c r="I13" s="168">
        <f t="shared" si="0"/>
        <v>1.1959129800414099E-3</v>
      </c>
      <c r="J13" s="169">
        <f t="shared" si="1"/>
        <v>1187123</v>
      </c>
    </row>
    <row r="14" spans="1:11" x14ac:dyDescent="0.25">
      <c r="A14" s="7"/>
      <c r="B14" s="7"/>
      <c r="C14" s="8" t="s">
        <v>64</v>
      </c>
      <c r="D14" s="8" t="s">
        <v>38</v>
      </c>
      <c r="E14" s="60">
        <v>765599.62</v>
      </c>
      <c r="F14" s="65">
        <v>946250</v>
      </c>
      <c r="G14" s="65">
        <v>1064330</v>
      </c>
      <c r="H14" s="150">
        <v>1418</v>
      </c>
      <c r="I14" s="163">
        <f t="shared" si="0"/>
        <v>1.3322935555701708E-3</v>
      </c>
      <c r="J14" s="35">
        <f t="shared" si="1"/>
        <v>1065748</v>
      </c>
    </row>
    <row r="15" spans="1:11" ht="15.75" customHeight="1" x14ac:dyDescent="0.25">
      <c r="A15" s="7"/>
      <c r="B15" s="7"/>
      <c r="C15" s="50" t="s">
        <v>65</v>
      </c>
      <c r="D15" s="8" t="s">
        <v>39</v>
      </c>
      <c r="E15" s="60">
        <v>3550.96</v>
      </c>
      <c r="F15" s="66">
        <v>594.98</v>
      </c>
      <c r="G15" s="66">
        <v>500</v>
      </c>
      <c r="H15" s="150">
        <v>0</v>
      </c>
      <c r="I15" s="163">
        <f t="shared" si="0"/>
        <v>0</v>
      </c>
      <c r="J15" s="35">
        <f t="shared" si="1"/>
        <v>500</v>
      </c>
    </row>
    <row r="16" spans="1:11" x14ac:dyDescent="0.25">
      <c r="A16" s="7"/>
      <c r="B16" s="7"/>
      <c r="C16" s="50" t="s">
        <v>159</v>
      </c>
      <c r="D16" s="8" t="s">
        <v>169</v>
      </c>
      <c r="E16" s="60">
        <v>0</v>
      </c>
      <c r="F16" s="66">
        <v>0</v>
      </c>
      <c r="G16" s="66">
        <v>120875</v>
      </c>
      <c r="H16" s="150">
        <v>0</v>
      </c>
      <c r="I16" s="163">
        <f t="shared" si="0"/>
        <v>0</v>
      </c>
      <c r="J16" s="35">
        <f t="shared" si="1"/>
        <v>120875</v>
      </c>
    </row>
    <row r="17" spans="1:10" ht="37.5" customHeight="1" x14ac:dyDescent="0.25">
      <c r="A17" s="7"/>
      <c r="B17" s="41">
        <v>65</v>
      </c>
      <c r="C17" s="42"/>
      <c r="D17" s="43" t="s">
        <v>40</v>
      </c>
      <c r="E17" s="70">
        <f>E19</f>
        <v>12725.06</v>
      </c>
      <c r="F17" s="64">
        <f>SUM(F18,F19)</f>
        <v>10135.66</v>
      </c>
      <c r="G17" s="64">
        <f>SUM(G19)</f>
        <v>7200</v>
      </c>
      <c r="H17" s="149">
        <f t="shared" ref="H17" si="3">SUM(H19)</f>
        <v>0</v>
      </c>
      <c r="I17" s="168">
        <f t="shared" si="0"/>
        <v>0</v>
      </c>
      <c r="J17" s="169">
        <f t="shared" si="1"/>
        <v>7200</v>
      </c>
    </row>
    <row r="18" spans="1:10" x14ac:dyDescent="0.25">
      <c r="A18" s="7"/>
      <c r="B18" s="20"/>
      <c r="C18" s="8" t="s">
        <v>67</v>
      </c>
      <c r="D18" s="8" t="s">
        <v>30</v>
      </c>
      <c r="E18" s="60">
        <v>0</v>
      </c>
      <c r="F18" s="66">
        <v>135.66</v>
      </c>
      <c r="G18" s="66">
        <v>0</v>
      </c>
      <c r="H18" s="150">
        <v>0</v>
      </c>
      <c r="I18" s="163">
        <v>0</v>
      </c>
      <c r="J18" s="35">
        <f t="shared" si="1"/>
        <v>0</v>
      </c>
    </row>
    <row r="19" spans="1:10" x14ac:dyDescent="0.25">
      <c r="A19" s="7"/>
      <c r="B19" s="20"/>
      <c r="C19" s="8" t="s">
        <v>66</v>
      </c>
      <c r="D19" s="8" t="s">
        <v>43</v>
      </c>
      <c r="E19" s="60">
        <v>12725.06</v>
      </c>
      <c r="F19" s="66">
        <v>10000</v>
      </c>
      <c r="G19" s="66">
        <v>7200</v>
      </c>
      <c r="H19" s="150">
        <v>0</v>
      </c>
      <c r="I19" s="163">
        <f t="shared" si="0"/>
        <v>0</v>
      </c>
      <c r="J19" s="35">
        <f t="shared" si="1"/>
        <v>7200</v>
      </c>
    </row>
    <row r="20" spans="1:10" ht="24.75" customHeight="1" x14ac:dyDescent="0.25">
      <c r="A20" s="7"/>
      <c r="B20" s="41">
        <v>66</v>
      </c>
      <c r="C20" s="42"/>
      <c r="D20" s="43" t="s">
        <v>41</v>
      </c>
      <c r="E20" s="70">
        <f>E22+E21</f>
        <v>879.51</v>
      </c>
      <c r="F20" s="64">
        <f>SUM(F21:F21)</f>
        <v>120</v>
      </c>
      <c r="G20" s="64">
        <f>SUM(G21:G22)</f>
        <v>730</v>
      </c>
      <c r="H20" s="149">
        <f>SUM(H21:H22)</f>
        <v>1485</v>
      </c>
      <c r="I20" s="168">
        <f t="shared" si="0"/>
        <v>2.0342465753424657</v>
      </c>
      <c r="J20" s="169">
        <f t="shared" si="1"/>
        <v>2215</v>
      </c>
    </row>
    <row r="21" spans="1:10" x14ac:dyDescent="0.25">
      <c r="A21" s="7"/>
      <c r="B21" s="20"/>
      <c r="C21" s="8" t="s">
        <v>67</v>
      </c>
      <c r="D21" s="8" t="s">
        <v>30</v>
      </c>
      <c r="E21" s="60">
        <v>121.96</v>
      </c>
      <c r="F21" s="66">
        <v>120</v>
      </c>
      <c r="G21" s="66">
        <v>130</v>
      </c>
      <c r="H21" s="150">
        <v>0</v>
      </c>
      <c r="I21" s="163">
        <f t="shared" si="0"/>
        <v>0</v>
      </c>
      <c r="J21" s="35">
        <f t="shared" si="1"/>
        <v>130</v>
      </c>
    </row>
    <row r="22" spans="1:10" x14ac:dyDescent="0.25">
      <c r="A22" s="7"/>
      <c r="B22" s="20"/>
      <c r="C22" s="50" t="s">
        <v>147</v>
      </c>
      <c r="D22" s="8" t="s">
        <v>42</v>
      </c>
      <c r="E22" s="60">
        <v>757.55</v>
      </c>
      <c r="F22" s="66">
        <v>200</v>
      </c>
      <c r="G22" s="66">
        <f>600</f>
        <v>600</v>
      </c>
      <c r="H22" s="150">
        <f>1781.32-296.32</f>
        <v>1485</v>
      </c>
      <c r="I22" s="163">
        <f t="shared" si="0"/>
        <v>2.4750000000000001</v>
      </c>
      <c r="J22" s="35">
        <f t="shared" si="1"/>
        <v>2085</v>
      </c>
    </row>
    <row r="23" spans="1:10" ht="26.25" customHeight="1" x14ac:dyDescent="0.25">
      <c r="A23" s="7"/>
      <c r="B23" s="41">
        <v>67</v>
      </c>
      <c r="C23" s="42"/>
      <c r="D23" s="39" t="s">
        <v>35</v>
      </c>
      <c r="E23" s="59">
        <f>E24+E30</f>
        <v>66161.919999999998</v>
      </c>
      <c r="F23" s="64">
        <f>SUM(F24:F30)</f>
        <v>57351.200000000004</v>
      </c>
      <c r="G23" s="64">
        <f>SUM(G24:G30)</f>
        <v>64289.289999999994</v>
      </c>
      <c r="H23" s="149">
        <f>SUM(H24:H30)</f>
        <v>2999.6499999999996</v>
      </c>
      <c r="I23" s="168">
        <f t="shared" si="0"/>
        <v>4.6658626965704553E-2</v>
      </c>
      <c r="J23" s="169">
        <f t="shared" si="1"/>
        <v>67288.939999999988</v>
      </c>
    </row>
    <row r="24" spans="1:10" s="177" customFormat="1" ht="25.5" x14ac:dyDescent="0.25">
      <c r="A24" s="7"/>
      <c r="B24" s="7"/>
      <c r="C24" s="8" t="s">
        <v>68</v>
      </c>
      <c r="D24" s="12" t="s">
        <v>156</v>
      </c>
      <c r="E24" s="62">
        <v>38391.75</v>
      </c>
      <c r="F24" s="66">
        <v>9406.67</v>
      </c>
      <c r="G24" s="66">
        <v>18140.27</v>
      </c>
      <c r="H24" s="150">
        <v>72.040000000000006</v>
      </c>
      <c r="I24" s="170">
        <f t="shared" si="0"/>
        <v>3.9712749589724964E-3</v>
      </c>
      <c r="J24" s="171">
        <f t="shared" si="1"/>
        <v>18212.310000000001</v>
      </c>
    </row>
    <row r="25" spans="1:10" ht="25.5" hidden="1" x14ac:dyDescent="0.25">
      <c r="A25" s="9">
        <v>7</v>
      </c>
      <c r="B25" s="27">
        <v>7</v>
      </c>
      <c r="C25" s="27"/>
      <c r="D25" s="28" t="s">
        <v>13</v>
      </c>
      <c r="E25" s="61"/>
      <c r="F25" s="67">
        <f>F26</f>
        <v>0</v>
      </c>
      <c r="G25" s="67"/>
      <c r="H25" s="151"/>
      <c r="I25" s="163" t="e">
        <f t="shared" si="0"/>
        <v>#DIV/0!</v>
      </c>
      <c r="J25" s="35">
        <f t="shared" si="1"/>
        <v>0</v>
      </c>
    </row>
    <row r="26" spans="1:10" ht="25.5" hidden="1" x14ac:dyDescent="0.25">
      <c r="A26" s="10"/>
      <c r="B26" s="10">
        <v>72</v>
      </c>
      <c r="C26" s="10"/>
      <c r="D26" s="19" t="s">
        <v>33</v>
      </c>
      <c r="E26" s="62"/>
      <c r="F26" s="66"/>
      <c r="G26" s="66"/>
      <c r="H26" s="150"/>
      <c r="I26" s="163" t="e">
        <f t="shared" si="0"/>
        <v>#DIV/0!</v>
      </c>
      <c r="J26" s="35">
        <f t="shared" si="1"/>
        <v>0</v>
      </c>
    </row>
    <row r="27" spans="1:10" ht="25.5" hidden="1" x14ac:dyDescent="0.25">
      <c r="A27" s="10"/>
      <c r="B27" s="10"/>
      <c r="C27" s="10">
        <v>71</v>
      </c>
      <c r="D27" s="11" t="s">
        <v>13</v>
      </c>
      <c r="E27" s="71"/>
      <c r="F27" s="66"/>
      <c r="G27" s="66"/>
      <c r="H27" s="150"/>
      <c r="I27" s="163" t="e">
        <f t="shared" si="0"/>
        <v>#DIV/0!</v>
      </c>
      <c r="J27" s="35">
        <f t="shared" si="1"/>
        <v>0</v>
      </c>
    </row>
    <row r="28" spans="1:10" x14ac:dyDescent="0.25">
      <c r="A28" s="10"/>
      <c r="B28" s="10"/>
      <c r="C28" s="8" t="s">
        <v>68</v>
      </c>
      <c r="D28" s="115" t="s">
        <v>152</v>
      </c>
      <c r="E28" s="71">
        <v>0</v>
      </c>
      <c r="F28" s="66">
        <v>1642.57</v>
      </c>
      <c r="G28" s="66">
        <v>1609.83</v>
      </c>
      <c r="H28" s="150">
        <v>90.07</v>
      </c>
      <c r="I28" s="163">
        <f t="shared" si="0"/>
        <v>5.5950007143611438E-2</v>
      </c>
      <c r="J28" s="35">
        <f t="shared" si="1"/>
        <v>1699.8999999999999</v>
      </c>
    </row>
    <row r="29" spans="1:10" x14ac:dyDescent="0.25">
      <c r="A29" s="10"/>
      <c r="B29" s="10"/>
      <c r="C29" s="8" t="s">
        <v>68</v>
      </c>
      <c r="D29" s="115" t="s">
        <v>153</v>
      </c>
      <c r="E29" s="71">
        <v>0</v>
      </c>
      <c r="F29" s="66">
        <v>9307.73</v>
      </c>
      <c r="G29" s="66">
        <v>9122.3799999999992</v>
      </c>
      <c r="H29" s="150">
        <v>510.36</v>
      </c>
      <c r="I29" s="163">
        <f t="shared" si="0"/>
        <v>5.5945926392016128E-2</v>
      </c>
      <c r="J29" s="35">
        <f t="shared" si="1"/>
        <v>9632.74</v>
      </c>
    </row>
    <row r="30" spans="1:10" x14ac:dyDescent="0.25">
      <c r="A30" s="7"/>
      <c r="B30" s="7"/>
      <c r="C30" s="8" t="s">
        <v>69</v>
      </c>
      <c r="D30" s="11" t="s">
        <v>44</v>
      </c>
      <c r="E30" s="71">
        <v>27770.17</v>
      </c>
      <c r="F30" s="66">
        <v>36994.230000000003</v>
      </c>
      <c r="G30" s="66">
        <v>35416.81</v>
      </c>
      <c r="H30" s="150">
        <v>2327.1799999999998</v>
      </c>
      <c r="I30" s="163">
        <f t="shared" si="0"/>
        <v>6.5708345839165072E-2</v>
      </c>
      <c r="J30" s="35">
        <f t="shared" si="1"/>
        <v>37743.99</v>
      </c>
    </row>
    <row r="31" spans="1:10" x14ac:dyDescent="0.25">
      <c r="A31" s="6">
        <v>9</v>
      </c>
      <c r="B31" s="44">
        <v>9</v>
      </c>
      <c r="C31" s="44"/>
      <c r="D31" s="45" t="s">
        <v>45</v>
      </c>
      <c r="E31" s="63">
        <f>E32</f>
        <v>7025.0500000000011</v>
      </c>
      <c r="F31" s="95">
        <f>F32</f>
        <v>7025.0500000000011</v>
      </c>
      <c r="G31" s="95">
        <f>G32</f>
        <v>1700</v>
      </c>
      <c r="H31" s="152">
        <f>H32</f>
        <v>4346.4399999999996</v>
      </c>
      <c r="I31" s="164">
        <f t="shared" si="0"/>
        <v>2.5567294117647057</v>
      </c>
      <c r="J31" s="165">
        <f t="shared" si="1"/>
        <v>6046.44</v>
      </c>
    </row>
    <row r="32" spans="1:10" x14ac:dyDescent="0.25">
      <c r="A32" s="6"/>
      <c r="B32" s="10">
        <v>92</v>
      </c>
      <c r="C32" s="10"/>
      <c r="D32" s="19" t="s">
        <v>46</v>
      </c>
      <c r="E32" s="62">
        <f>E38+E34+E35+E36+E37</f>
        <v>7025.0500000000011</v>
      </c>
      <c r="F32" s="66">
        <f>F38+F34+F35+F37+F36</f>
        <v>7025.0500000000011</v>
      </c>
      <c r="G32" s="66">
        <f>G35+G37+G36</f>
        <v>1700</v>
      </c>
      <c r="H32" s="150">
        <f>H34+H35+H36+H37+H38+H33</f>
        <v>4346.4399999999996</v>
      </c>
      <c r="I32" s="163">
        <f t="shared" si="0"/>
        <v>2.5567294117647057</v>
      </c>
      <c r="J32" s="35">
        <f>G32+H32</f>
        <v>6046.44</v>
      </c>
    </row>
    <row r="33" spans="1:10" x14ac:dyDescent="0.25">
      <c r="A33" s="6"/>
      <c r="B33" s="10"/>
      <c r="C33" s="8" t="s">
        <v>68</v>
      </c>
      <c r="D33" s="12" t="s">
        <v>187</v>
      </c>
      <c r="E33" s="62"/>
      <c r="F33" s="66"/>
      <c r="G33" s="66">
        <v>0</v>
      </c>
      <c r="H33" s="150">
        <v>135</v>
      </c>
      <c r="I33" s="163">
        <v>0</v>
      </c>
      <c r="J33" s="35">
        <f t="shared" ref="J33" si="4">G33+H33</f>
        <v>135</v>
      </c>
    </row>
    <row r="34" spans="1:10" x14ac:dyDescent="0.25">
      <c r="A34" s="6"/>
      <c r="B34" s="10"/>
      <c r="C34" s="8" t="s">
        <v>67</v>
      </c>
      <c r="D34" s="8" t="s">
        <v>103</v>
      </c>
      <c r="E34" s="66">
        <v>28.9</v>
      </c>
      <c r="F34" s="66">
        <v>28.9</v>
      </c>
      <c r="G34" s="66">
        <v>0</v>
      </c>
      <c r="H34" s="150">
        <v>-46</v>
      </c>
      <c r="I34" s="163">
        <v>0</v>
      </c>
      <c r="J34" s="35">
        <f t="shared" si="1"/>
        <v>-46</v>
      </c>
    </row>
    <row r="35" spans="1:10" x14ac:dyDescent="0.25">
      <c r="A35" s="6"/>
      <c r="B35" s="10"/>
      <c r="C35" s="8" t="s">
        <v>66</v>
      </c>
      <c r="D35" s="26" t="s">
        <v>53</v>
      </c>
      <c r="E35" s="66">
        <v>8183.7</v>
      </c>
      <c r="F35" s="66">
        <v>8183.7</v>
      </c>
      <c r="G35" s="66">
        <v>4200</v>
      </c>
      <c r="H35" s="150">
        <v>3675.45</v>
      </c>
      <c r="I35" s="163">
        <f t="shared" si="0"/>
        <v>0.87510714285714286</v>
      </c>
      <c r="J35" s="35">
        <f t="shared" si="1"/>
        <v>7875.45</v>
      </c>
    </row>
    <row r="36" spans="1:10" x14ac:dyDescent="0.25">
      <c r="A36" s="6"/>
      <c r="B36" s="10"/>
      <c r="C36" s="8" t="s">
        <v>64</v>
      </c>
      <c r="D36" s="8" t="s">
        <v>146</v>
      </c>
      <c r="E36" s="125" t="s">
        <v>145</v>
      </c>
      <c r="F36" s="125" t="s">
        <v>145</v>
      </c>
      <c r="G36" s="128" t="s">
        <v>155</v>
      </c>
      <c r="H36" s="150">
        <v>-209.67</v>
      </c>
      <c r="I36" s="163">
        <f t="shared" si="0"/>
        <v>6.9889999999999994E-2</v>
      </c>
      <c r="J36" s="35">
        <f t="shared" si="1"/>
        <v>-3209.67</v>
      </c>
    </row>
    <row r="37" spans="1:10" x14ac:dyDescent="0.25">
      <c r="A37" s="10"/>
      <c r="B37" s="10"/>
      <c r="C37" s="8" t="s">
        <v>65</v>
      </c>
      <c r="D37" s="26" t="s">
        <v>57</v>
      </c>
      <c r="E37" s="66">
        <v>905.02</v>
      </c>
      <c r="F37" s="66">
        <v>905.02</v>
      </c>
      <c r="G37" s="66">
        <v>500</v>
      </c>
      <c r="H37" s="150">
        <v>495.34</v>
      </c>
      <c r="I37" s="163">
        <f t="shared" si="0"/>
        <v>0.99068000000000001</v>
      </c>
      <c r="J37" s="35">
        <f t="shared" si="1"/>
        <v>995.33999999999992</v>
      </c>
    </row>
    <row r="38" spans="1:10" x14ac:dyDescent="0.25">
      <c r="A38" s="6"/>
      <c r="B38" s="10"/>
      <c r="C38" s="50" t="s">
        <v>147</v>
      </c>
      <c r="D38" s="8" t="s">
        <v>102</v>
      </c>
      <c r="E38" s="66">
        <v>457.51</v>
      </c>
      <c r="F38" s="66">
        <v>457.51</v>
      </c>
      <c r="G38" s="66">
        <v>0</v>
      </c>
      <c r="H38" s="150">
        <v>296.32</v>
      </c>
      <c r="I38" s="163">
        <v>0</v>
      </c>
      <c r="J38" s="35">
        <f t="shared" si="1"/>
        <v>296.32</v>
      </c>
    </row>
    <row r="39" spans="1:10" x14ac:dyDescent="0.25">
      <c r="A39" s="275" t="s">
        <v>63</v>
      </c>
      <c r="B39" s="275"/>
      <c r="C39" s="275"/>
      <c r="D39" s="275"/>
      <c r="E39" s="68">
        <f>E31+E12</f>
        <v>855942.12000000011</v>
      </c>
      <c r="F39" s="69">
        <f>F12+F31</f>
        <v>1024226.9700000001</v>
      </c>
      <c r="G39" s="69">
        <f>G12+G31</f>
        <v>1259624.29</v>
      </c>
      <c r="H39" s="153">
        <f>H12+H31</f>
        <v>10249.09</v>
      </c>
      <c r="I39" s="172">
        <f t="shared" si="0"/>
        <v>8.1366246120896882E-3</v>
      </c>
      <c r="J39" s="37">
        <f>G39+H39</f>
        <v>1269873.3800000001</v>
      </c>
    </row>
    <row r="41" spans="1:10" ht="18" x14ac:dyDescent="0.25">
      <c r="A41" s="3"/>
      <c r="B41" s="3"/>
      <c r="C41" s="3"/>
      <c r="D41" s="3"/>
      <c r="E41" s="17"/>
      <c r="F41" s="29"/>
      <c r="G41" s="29"/>
      <c r="H41" s="146"/>
    </row>
    <row r="42" spans="1:10" s="177" customFormat="1" ht="28.9" customHeight="1" x14ac:dyDescent="0.25">
      <c r="A42" s="14" t="s">
        <v>8</v>
      </c>
      <c r="B42" s="135" t="s">
        <v>9</v>
      </c>
      <c r="C42" s="135" t="s">
        <v>10</v>
      </c>
      <c r="D42" s="135" t="s">
        <v>14</v>
      </c>
      <c r="E42" s="14" t="s">
        <v>136</v>
      </c>
      <c r="F42" s="14" t="s">
        <v>137</v>
      </c>
      <c r="G42" s="14" t="s">
        <v>162</v>
      </c>
      <c r="H42" s="138" t="s">
        <v>161</v>
      </c>
      <c r="I42" s="14" t="s">
        <v>163</v>
      </c>
      <c r="J42" s="14" t="s">
        <v>164</v>
      </c>
    </row>
    <row r="43" spans="1:10" s="177" customFormat="1" x14ac:dyDescent="0.25">
      <c r="A43" s="14"/>
      <c r="B43" s="272" t="s">
        <v>144</v>
      </c>
      <c r="C43" s="273"/>
      <c r="D43" s="274"/>
      <c r="E43" s="75">
        <f>E44</f>
        <v>847028.32</v>
      </c>
      <c r="F43" s="124">
        <f>F44+F72</f>
        <v>1024720.54</v>
      </c>
      <c r="G43" s="124">
        <f>G44+G72</f>
        <v>1259124.29</v>
      </c>
      <c r="H43" s="154">
        <f>H44+H72</f>
        <v>10959.09</v>
      </c>
      <c r="I43" s="208">
        <f>H43/G43</f>
        <v>8.7037396443205781E-3</v>
      </c>
      <c r="J43" s="209">
        <f>H43+G43</f>
        <v>1270083.3800000001</v>
      </c>
    </row>
    <row r="44" spans="1:10" s="177" customFormat="1" ht="15.75" customHeight="1" x14ac:dyDescent="0.25">
      <c r="A44" s="6">
        <v>3</v>
      </c>
      <c r="B44" s="40">
        <v>3</v>
      </c>
      <c r="C44" s="40"/>
      <c r="D44" s="40" t="s">
        <v>15</v>
      </c>
      <c r="E44" s="57">
        <v>847028.32</v>
      </c>
      <c r="F44" s="92">
        <f>F45+F51+F62+F66+F70</f>
        <v>1018120.54</v>
      </c>
      <c r="G44" s="92">
        <f>G45+G51+G62+G66+G70</f>
        <v>1130509.29</v>
      </c>
      <c r="H44" s="155">
        <f>H45+H51+H62+H66+H70</f>
        <v>10513.64</v>
      </c>
      <c r="I44" s="178">
        <f t="shared" ref="I44:I80" si="5">H44/G44</f>
        <v>9.2999147313508577E-3</v>
      </c>
      <c r="J44" s="179">
        <f t="shared" ref="J44:J83" si="6">H44+G44</f>
        <v>1141022.93</v>
      </c>
    </row>
    <row r="45" spans="1:10" s="177" customFormat="1" ht="15.75" customHeight="1" x14ac:dyDescent="0.25">
      <c r="A45" s="6"/>
      <c r="B45" s="39">
        <v>31</v>
      </c>
      <c r="C45" s="39"/>
      <c r="D45" s="39" t="s">
        <v>16</v>
      </c>
      <c r="E45" s="55">
        <f>E46+E49+E50</f>
        <v>693339.04</v>
      </c>
      <c r="F45" s="91">
        <f>SUM(F46:F50)</f>
        <v>876740.47</v>
      </c>
      <c r="G45" s="91">
        <f>SUM(G46:G50)</f>
        <v>975203.39</v>
      </c>
      <c r="H45" s="156">
        <f>SUM(H46:H50)</f>
        <v>665.51</v>
      </c>
      <c r="I45" s="168">
        <f t="shared" si="5"/>
        <v>6.8243200015947439E-4</v>
      </c>
      <c r="J45" s="169">
        <f>H45+G45</f>
        <v>975868.9</v>
      </c>
    </row>
    <row r="46" spans="1:10" s="177" customFormat="1" ht="25.5" x14ac:dyDescent="0.25">
      <c r="A46" s="7"/>
      <c r="B46" s="7"/>
      <c r="C46" s="50" t="s">
        <v>68</v>
      </c>
      <c r="D46" s="11" t="s">
        <v>47</v>
      </c>
      <c r="E46" s="74">
        <f>1538.34+271.45+96.25+3089.68+147.02</f>
        <v>5142.74</v>
      </c>
      <c r="F46" s="93">
        <f>702.19+234.71+877.8+662.04+4974.22+3751.43</f>
        <v>11202.39</v>
      </c>
      <c r="G46" s="93">
        <v>1206.71</v>
      </c>
      <c r="H46" s="157">
        <v>71.3</v>
      </c>
      <c r="I46" s="170">
        <f t="shared" si="5"/>
        <v>5.9086275907218801E-2</v>
      </c>
      <c r="J46" s="171">
        <f t="shared" si="6"/>
        <v>1278.01</v>
      </c>
    </row>
    <row r="47" spans="1:10" s="177" customFormat="1" x14ac:dyDescent="0.25">
      <c r="A47" s="7"/>
      <c r="B47" s="7"/>
      <c r="C47" s="50" t="s">
        <v>170</v>
      </c>
      <c r="D47" s="115" t="s">
        <v>152</v>
      </c>
      <c r="E47" s="74"/>
      <c r="F47" s="93"/>
      <c r="G47" s="93">
        <v>1508.5</v>
      </c>
      <c r="H47" s="157">
        <v>89.14</v>
      </c>
      <c r="I47" s="170">
        <f t="shared" ref="I47:I48" si="7">H47/G47</f>
        <v>5.9091813059330464E-2</v>
      </c>
      <c r="J47" s="171">
        <f t="shared" ref="J47:J48" si="8">H47+G47</f>
        <v>1597.64</v>
      </c>
    </row>
    <row r="48" spans="1:10" s="177" customFormat="1" x14ac:dyDescent="0.25">
      <c r="A48" s="7"/>
      <c r="B48" s="7"/>
      <c r="C48" s="8" t="s">
        <v>68</v>
      </c>
      <c r="D48" s="115" t="s">
        <v>153</v>
      </c>
      <c r="E48" s="74"/>
      <c r="F48" s="93"/>
      <c r="G48" s="93">
        <v>8548.18</v>
      </c>
      <c r="H48" s="157">
        <v>505.07</v>
      </c>
      <c r="I48" s="170">
        <f t="shared" si="7"/>
        <v>5.9085091797318259E-2</v>
      </c>
      <c r="J48" s="171">
        <f t="shared" si="8"/>
        <v>9053.25</v>
      </c>
    </row>
    <row r="49" spans="1:10" s="177" customFormat="1" x14ac:dyDescent="0.25">
      <c r="A49" s="7"/>
      <c r="B49" s="7"/>
      <c r="C49" s="8" t="s">
        <v>64</v>
      </c>
      <c r="D49" s="8" t="s">
        <v>38</v>
      </c>
      <c r="E49" s="58">
        <f>557208.93+4830.63+5459.81+9300+17069.73+92764.12</f>
        <v>686633.22000000009</v>
      </c>
      <c r="F49" s="93">
        <f>9900+702283.46+1300+116200+8321.62+8050+2330+150+3+17000</f>
        <v>865538.08</v>
      </c>
      <c r="G49" s="93">
        <f>793000+9000+9500+6600+11600+1800+10500+440+121500</f>
        <v>963940</v>
      </c>
      <c r="H49" s="157">
        <v>0</v>
      </c>
      <c r="I49" s="170">
        <f t="shared" si="5"/>
        <v>0</v>
      </c>
      <c r="J49" s="171">
        <f t="shared" si="6"/>
        <v>963940</v>
      </c>
    </row>
    <row r="50" spans="1:10" s="177" customFormat="1" ht="15.75" customHeight="1" x14ac:dyDescent="0.25">
      <c r="A50" s="7"/>
      <c r="B50" s="7"/>
      <c r="C50" s="8" t="s">
        <v>65</v>
      </c>
      <c r="D50" s="8" t="s">
        <v>49</v>
      </c>
      <c r="E50" s="58">
        <f>1212.95+150+200.13</f>
        <v>1563.08</v>
      </c>
      <c r="F50" s="93">
        <v>0</v>
      </c>
      <c r="G50" s="93">
        <v>0</v>
      </c>
      <c r="H50" s="157">
        <v>0</v>
      </c>
      <c r="I50" s="170">
        <v>0</v>
      </c>
      <c r="J50" s="171">
        <f t="shared" si="6"/>
        <v>0</v>
      </c>
    </row>
    <row r="51" spans="1:10" s="177" customFormat="1" x14ac:dyDescent="0.25">
      <c r="A51" s="7"/>
      <c r="B51" s="41">
        <v>32</v>
      </c>
      <c r="C51" s="42"/>
      <c r="D51" s="41" t="s">
        <v>26</v>
      </c>
      <c r="E51" s="72">
        <f>E52+E55+E61+E56+E57+E58+E59</f>
        <v>141362.22999999998</v>
      </c>
      <c r="F51" s="91">
        <f>SUM(F52:F60)</f>
        <v>131628.07</v>
      </c>
      <c r="G51" s="91">
        <f>SUM(G52:G61)</f>
        <v>140040.9</v>
      </c>
      <c r="H51" s="156">
        <f>SUM(H52:H61)</f>
        <v>9003.1299999999992</v>
      </c>
      <c r="I51" s="168">
        <f t="shared" si="5"/>
        <v>6.4289289771773811E-2</v>
      </c>
      <c r="J51" s="169">
        <f t="shared" si="6"/>
        <v>149044.03</v>
      </c>
    </row>
    <row r="52" spans="1:10" s="177" customFormat="1" x14ac:dyDescent="0.25">
      <c r="A52" s="7"/>
      <c r="B52" s="7"/>
      <c r="C52" s="8" t="s">
        <v>68</v>
      </c>
      <c r="D52" s="8" t="s">
        <v>12</v>
      </c>
      <c r="E52" s="58">
        <v>26692.19</v>
      </c>
      <c r="F52" s="93">
        <f>52.71+2.68+11.88+40+15+460+2500+3000+750+238.5+65.89+3.35+33.49+373.4+18.97+189.71</f>
        <v>7755.5800000000008</v>
      </c>
      <c r="G52" s="93">
        <v>11543.56</v>
      </c>
      <c r="H52" s="157">
        <v>0.74</v>
      </c>
      <c r="I52" s="170">
        <f t="shared" si="5"/>
        <v>6.4105007467367094E-5</v>
      </c>
      <c r="J52" s="171">
        <f t="shared" si="6"/>
        <v>11544.3</v>
      </c>
    </row>
    <row r="53" spans="1:10" s="177" customFormat="1" x14ac:dyDescent="0.25">
      <c r="A53" s="7"/>
      <c r="B53" s="7"/>
      <c r="C53" s="50" t="s">
        <v>170</v>
      </c>
      <c r="D53" s="115" t="s">
        <v>152</v>
      </c>
      <c r="E53" s="58"/>
      <c r="F53" s="93"/>
      <c r="G53" s="93">
        <v>101.33</v>
      </c>
      <c r="H53" s="157">
        <v>0.93</v>
      </c>
      <c r="I53" s="170">
        <f t="shared" ref="I53:I54" si="9">H53/G53</f>
        <v>9.1779334846541008E-3</v>
      </c>
      <c r="J53" s="171">
        <f t="shared" ref="J53:J54" si="10">H53+G53</f>
        <v>102.26</v>
      </c>
    </row>
    <row r="54" spans="1:10" s="177" customFormat="1" x14ac:dyDescent="0.25">
      <c r="A54" s="7"/>
      <c r="B54" s="7"/>
      <c r="C54" s="8" t="s">
        <v>68</v>
      </c>
      <c r="D54" s="115" t="s">
        <v>153</v>
      </c>
      <c r="E54" s="58"/>
      <c r="F54" s="93"/>
      <c r="G54" s="93">
        <v>574.20000000000005</v>
      </c>
      <c r="H54" s="157">
        <v>5.29</v>
      </c>
      <c r="I54" s="170">
        <f t="shared" si="9"/>
        <v>9.2128178335074886E-3</v>
      </c>
      <c r="J54" s="171">
        <f t="shared" si="10"/>
        <v>579.49</v>
      </c>
    </row>
    <row r="55" spans="1:10" s="177" customFormat="1" x14ac:dyDescent="0.25">
      <c r="A55" s="7"/>
      <c r="B55" s="7"/>
      <c r="C55" s="8" t="s">
        <v>69</v>
      </c>
      <c r="D55" s="11" t="s">
        <v>44</v>
      </c>
      <c r="E55" s="74">
        <f>27770.17-E63</f>
        <v>27282.019999999997</v>
      </c>
      <c r="F55" s="93">
        <f>4300+120+70+800+3930+4200+11114.23+180+950+100+100+1600+80+400+2300+600+1600+73+157+1900+530+165+145+50</f>
        <v>35464.229999999996</v>
      </c>
      <c r="G55" s="93">
        <f>35416.81-G63-G75</f>
        <v>33631.81</v>
      </c>
      <c r="H55" s="157">
        <v>3267.18</v>
      </c>
      <c r="I55" s="170">
        <f t="shared" si="5"/>
        <v>9.7145529782667064E-2</v>
      </c>
      <c r="J55" s="171">
        <f t="shared" si="6"/>
        <v>36898.99</v>
      </c>
    </row>
    <row r="56" spans="1:10" s="177" customFormat="1" x14ac:dyDescent="0.25">
      <c r="A56" s="7"/>
      <c r="B56" s="7"/>
      <c r="C56" s="8" t="s">
        <v>67</v>
      </c>
      <c r="D56" s="8" t="s">
        <v>30</v>
      </c>
      <c r="E56" s="58">
        <v>187.82</v>
      </c>
      <c r="F56" s="93">
        <f>118.9+30+135.66</f>
        <v>284.56</v>
      </c>
      <c r="G56" s="93">
        <v>130</v>
      </c>
      <c r="H56" s="157">
        <v>-46</v>
      </c>
      <c r="I56" s="170">
        <f t="shared" si="5"/>
        <v>-0.35384615384615387</v>
      </c>
      <c r="J56" s="171">
        <f t="shared" si="6"/>
        <v>84</v>
      </c>
    </row>
    <row r="57" spans="1:10" s="177" customFormat="1" x14ac:dyDescent="0.25">
      <c r="A57" s="7"/>
      <c r="B57" s="7"/>
      <c r="C57" s="8" t="s">
        <v>66</v>
      </c>
      <c r="D57" s="8" t="s">
        <v>48</v>
      </c>
      <c r="E57" s="58">
        <f>17484.85-E77</f>
        <v>12427.029999999999</v>
      </c>
      <c r="F57" s="93">
        <f>300+10033.7+400+700+1400+400+500+500+150+200+500+200</f>
        <v>15283.7</v>
      </c>
      <c r="G57" s="93">
        <f>11400-1300</f>
        <v>10100</v>
      </c>
      <c r="H57" s="157">
        <v>3150</v>
      </c>
      <c r="I57" s="170">
        <f t="shared" si="5"/>
        <v>0.31188118811881188</v>
      </c>
      <c r="J57" s="171">
        <f t="shared" si="6"/>
        <v>13250</v>
      </c>
    </row>
    <row r="58" spans="1:10" s="177" customFormat="1" x14ac:dyDescent="0.25">
      <c r="A58" s="7"/>
      <c r="B58" s="7"/>
      <c r="C58" s="8" t="s">
        <v>64</v>
      </c>
      <c r="D58" s="8" t="s">
        <v>38</v>
      </c>
      <c r="E58" s="58">
        <f>38506.78+20.13+31289.47+1664.43</f>
        <v>71480.81</v>
      </c>
      <c r="F58" s="94">
        <f>30000+190+39000+100+2050</f>
        <v>71340</v>
      </c>
      <c r="G58" s="94">
        <f>39800+100+270+40500+2190</f>
        <v>82860</v>
      </c>
      <c r="H58" s="157">
        <v>1208.33</v>
      </c>
      <c r="I58" s="170">
        <f t="shared" si="5"/>
        <v>1.4582790248612115E-2</v>
      </c>
      <c r="J58" s="171">
        <f t="shared" si="6"/>
        <v>84068.33</v>
      </c>
    </row>
    <row r="59" spans="1:10" s="177" customFormat="1" x14ac:dyDescent="0.25">
      <c r="A59" s="7"/>
      <c r="B59" s="7"/>
      <c r="C59" s="8" t="s">
        <v>65</v>
      </c>
      <c r="D59" s="8" t="s">
        <v>49</v>
      </c>
      <c r="E59" s="58">
        <f>1601.36+125.25+800</f>
        <v>2526.6099999999997</v>
      </c>
      <c r="F59" s="93">
        <f>200+700+300+300</f>
        <v>1500</v>
      </c>
      <c r="G59" s="93">
        <v>500</v>
      </c>
      <c r="H59" s="157">
        <v>495.34</v>
      </c>
      <c r="I59" s="170">
        <f t="shared" si="5"/>
        <v>0.99068000000000001</v>
      </c>
      <c r="J59" s="171">
        <f t="shared" si="6"/>
        <v>995.33999999999992</v>
      </c>
    </row>
    <row r="60" spans="1:10" s="177" customFormat="1" ht="25.5" hidden="1" x14ac:dyDescent="0.25">
      <c r="A60" s="7"/>
      <c r="B60" s="7"/>
      <c r="C60" s="8">
        <v>71</v>
      </c>
      <c r="D60" s="11" t="s">
        <v>13</v>
      </c>
      <c r="E60" s="74"/>
      <c r="F60" s="93"/>
      <c r="G60" s="93"/>
      <c r="H60" s="157"/>
      <c r="I60" s="170" t="e">
        <f t="shared" si="5"/>
        <v>#DIV/0!</v>
      </c>
      <c r="J60" s="171">
        <f t="shared" si="6"/>
        <v>0</v>
      </c>
    </row>
    <row r="61" spans="1:10" s="177" customFormat="1" x14ac:dyDescent="0.25">
      <c r="A61" s="7"/>
      <c r="B61" s="7"/>
      <c r="C61" s="50" t="s">
        <v>147</v>
      </c>
      <c r="D61" s="8" t="s">
        <v>42</v>
      </c>
      <c r="E61" s="58">
        <v>765.75</v>
      </c>
      <c r="F61" s="93">
        <f>100+300+200+57.51</f>
        <v>657.51</v>
      </c>
      <c r="G61" s="93">
        <v>600</v>
      </c>
      <c r="H61" s="157">
        <v>921.32</v>
      </c>
      <c r="I61" s="170">
        <f t="shared" si="5"/>
        <v>1.5355333333333334</v>
      </c>
      <c r="J61" s="171">
        <f t="shared" si="6"/>
        <v>1521.3200000000002</v>
      </c>
    </row>
    <row r="62" spans="1:10" s="177" customFormat="1" x14ac:dyDescent="0.25">
      <c r="A62" s="7"/>
      <c r="B62" s="41">
        <v>34</v>
      </c>
      <c r="C62" s="42"/>
      <c r="D62" s="48" t="s">
        <v>50</v>
      </c>
      <c r="E62" s="73">
        <f>E63+E65</f>
        <v>488.15</v>
      </c>
      <c r="F62" s="91">
        <f>SUM(F63:F65)</f>
        <v>922</v>
      </c>
      <c r="G62" s="91">
        <f>SUM(G63:G65)</f>
        <v>975</v>
      </c>
      <c r="H62" s="156">
        <f>SUM(H63:H65)</f>
        <v>845</v>
      </c>
      <c r="I62" s="168">
        <f t="shared" si="5"/>
        <v>0.8666666666666667</v>
      </c>
      <c r="J62" s="169">
        <f t="shared" si="6"/>
        <v>1820</v>
      </c>
    </row>
    <row r="63" spans="1:10" s="177" customFormat="1" x14ac:dyDescent="0.25">
      <c r="A63" s="7"/>
      <c r="B63" s="7"/>
      <c r="C63" s="8" t="s">
        <v>69</v>
      </c>
      <c r="D63" s="11" t="s">
        <v>44</v>
      </c>
      <c r="E63" s="74">
        <v>488.15</v>
      </c>
      <c r="F63" s="93">
        <f>820+10</f>
        <v>830</v>
      </c>
      <c r="G63" s="93">
        <v>845</v>
      </c>
      <c r="H63" s="157">
        <v>845</v>
      </c>
      <c r="I63" s="170">
        <f t="shared" si="5"/>
        <v>1</v>
      </c>
      <c r="J63" s="171">
        <f t="shared" si="6"/>
        <v>1690</v>
      </c>
    </row>
    <row r="64" spans="1:10" s="177" customFormat="1" ht="15.75" customHeight="1" x14ac:dyDescent="0.25">
      <c r="A64" s="7"/>
      <c r="B64" s="7"/>
      <c r="C64" s="8" t="s">
        <v>68</v>
      </c>
      <c r="D64" s="8" t="s">
        <v>12</v>
      </c>
      <c r="E64" s="74">
        <v>0</v>
      </c>
      <c r="F64" s="93">
        <v>0</v>
      </c>
      <c r="G64" s="93">
        <v>0</v>
      </c>
      <c r="H64" s="157">
        <v>0</v>
      </c>
      <c r="I64" s="170">
        <v>0</v>
      </c>
      <c r="J64" s="171">
        <f t="shared" si="6"/>
        <v>0</v>
      </c>
    </row>
    <row r="65" spans="1:10" s="177" customFormat="1" ht="16.899999999999999" customHeight="1" x14ac:dyDescent="0.25">
      <c r="A65" s="7"/>
      <c r="B65" s="7"/>
      <c r="C65" s="8" t="s">
        <v>64</v>
      </c>
      <c r="D65" s="11" t="s">
        <v>38</v>
      </c>
      <c r="E65" s="74">
        <v>0</v>
      </c>
      <c r="F65" s="93">
        <f>27+65</f>
        <v>92</v>
      </c>
      <c r="G65" s="93">
        <v>130</v>
      </c>
      <c r="H65" s="157">
        <v>0</v>
      </c>
      <c r="I65" s="170">
        <f t="shared" si="5"/>
        <v>0</v>
      </c>
      <c r="J65" s="171">
        <f t="shared" si="6"/>
        <v>130</v>
      </c>
    </row>
    <row r="66" spans="1:10" s="177" customFormat="1" ht="27" customHeight="1" x14ac:dyDescent="0.25">
      <c r="A66" s="7"/>
      <c r="B66" s="41">
        <v>37</v>
      </c>
      <c r="C66" s="42"/>
      <c r="D66" s="48" t="s">
        <v>51</v>
      </c>
      <c r="E66" s="73">
        <f>E69</f>
        <v>8486.2000000000007</v>
      </c>
      <c r="F66" s="91">
        <f>F69</f>
        <v>8500</v>
      </c>
      <c r="G66" s="91">
        <f>G69+G68</f>
        <v>13890</v>
      </c>
      <c r="H66" s="156">
        <f>H69</f>
        <v>0</v>
      </c>
      <c r="I66" s="168">
        <f t="shared" si="5"/>
        <v>0</v>
      </c>
      <c r="J66" s="169">
        <f t="shared" si="6"/>
        <v>13890</v>
      </c>
    </row>
    <row r="67" spans="1:10" s="177" customFormat="1" hidden="1" x14ac:dyDescent="0.25">
      <c r="A67" s="7"/>
      <c r="B67" s="7"/>
      <c r="C67" s="8">
        <v>11</v>
      </c>
      <c r="D67" s="11" t="s">
        <v>52</v>
      </c>
      <c r="E67" s="74"/>
      <c r="F67" s="93"/>
      <c r="G67" s="93"/>
      <c r="H67" s="157"/>
      <c r="I67" s="170" t="e">
        <f t="shared" si="5"/>
        <v>#DIV/0!</v>
      </c>
      <c r="J67" s="171">
        <f t="shared" si="6"/>
        <v>0</v>
      </c>
    </row>
    <row r="68" spans="1:10" s="177" customFormat="1" x14ac:dyDescent="0.25">
      <c r="A68" s="7"/>
      <c r="B68" s="7"/>
      <c r="C68" s="8" t="s">
        <v>68</v>
      </c>
      <c r="D68" s="8" t="s">
        <v>12</v>
      </c>
      <c r="E68" s="74">
        <f>2138.67+693.15+600</f>
        <v>3431.82</v>
      </c>
      <c r="F68" s="93">
        <f>199+600+500+100</f>
        <v>1399</v>
      </c>
      <c r="G68" s="93">
        <v>1890</v>
      </c>
      <c r="H68" s="157">
        <v>0</v>
      </c>
      <c r="I68" s="170">
        <f t="shared" si="5"/>
        <v>0</v>
      </c>
      <c r="J68" s="171">
        <f t="shared" si="6"/>
        <v>1890</v>
      </c>
    </row>
    <row r="69" spans="1:10" s="177" customFormat="1" x14ac:dyDescent="0.25">
      <c r="A69" s="7"/>
      <c r="B69" s="7"/>
      <c r="C69" s="8" t="s">
        <v>64</v>
      </c>
      <c r="D69" s="8" t="s">
        <v>38</v>
      </c>
      <c r="E69" s="58">
        <v>8486.2000000000007</v>
      </c>
      <c r="F69" s="93">
        <f>8500</f>
        <v>8500</v>
      </c>
      <c r="G69" s="93">
        <v>12000</v>
      </c>
      <c r="H69" s="157">
        <v>0</v>
      </c>
      <c r="I69" s="170">
        <f t="shared" si="5"/>
        <v>0</v>
      </c>
      <c r="J69" s="171">
        <f t="shared" si="6"/>
        <v>12000</v>
      </c>
    </row>
    <row r="70" spans="1:10" s="177" customFormat="1" x14ac:dyDescent="0.25">
      <c r="A70" s="7"/>
      <c r="B70" s="41">
        <v>38</v>
      </c>
      <c r="C70" s="42"/>
      <c r="D70" s="48" t="s">
        <v>130</v>
      </c>
      <c r="E70" s="72">
        <v>0</v>
      </c>
      <c r="F70" s="91">
        <f>F71</f>
        <v>330</v>
      </c>
      <c r="G70" s="91">
        <f>G71</f>
        <v>400</v>
      </c>
      <c r="H70" s="156">
        <f t="shared" ref="H70" si="11">H71</f>
        <v>0</v>
      </c>
      <c r="I70" s="168">
        <f t="shared" si="5"/>
        <v>0</v>
      </c>
      <c r="J70" s="169">
        <f t="shared" si="6"/>
        <v>400</v>
      </c>
    </row>
    <row r="71" spans="1:10" s="177" customFormat="1" ht="16.5" customHeight="1" x14ac:dyDescent="0.25">
      <c r="A71" s="7"/>
      <c r="B71" s="7"/>
      <c r="C71" s="8" t="s">
        <v>64</v>
      </c>
      <c r="D71" s="8" t="s">
        <v>38</v>
      </c>
      <c r="E71" s="58">
        <v>0</v>
      </c>
      <c r="F71" s="93">
        <v>330</v>
      </c>
      <c r="G71" s="93">
        <v>400</v>
      </c>
      <c r="H71" s="157">
        <v>0</v>
      </c>
      <c r="I71" s="170">
        <f t="shared" si="5"/>
        <v>0</v>
      </c>
      <c r="J71" s="171">
        <f t="shared" si="6"/>
        <v>400</v>
      </c>
    </row>
    <row r="72" spans="1:10" s="177" customFormat="1" ht="25.5" x14ac:dyDescent="0.25">
      <c r="A72" s="9">
        <v>4</v>
      </c>
      <c r="B72" s="47">
        <v>4</v>
      </c>
      <c r="C72" s="47"/>
      <c r="D72" s="45" t="s">
        <v>17</v>
      </c>
      <c r="E72" s="57">
        <f>E73</f>
        <v>8535.48</v>
      </c>
      <c r="F72" s="92">
        <f>F73+F82</f>
        <v>6600</v>
      </c>
      <c r="G72" s="92">
        <f>G73+G82</f>
        <v>128615</v>
      </c>
      <c r="H72" s="155">
        <f t="shared" ref="H72" si="12">H73</f>
        <v>445.45000000000005</v>
      </c>
      <c r="I72" s="178">
        <f>H72/G72</f>
        <v>3.4634373906620537E-3</v>
      </c>
      <c r="J72" s="179">
        <f t="shared" si="6"/>
        <v>129060.45</v>
      </c>
    </row>
    <row r="73" spans="1:10" s="177" customFormat="1" ht="27.6" customHeight="1" x14ac:dyDescent="0.25">
      <c r="A73" s="10"/>
      <c r="B73" s="39">
        <v>42</v>
      </c>
      <c r="C73" s="39"/>
      <c r="D73" s="49" t="s">
        <v>36</v>
      </c>
      <c r="E73" s="55">
        <f>E74+E75+E77+E78+E79+E81</f>
        <v>8535.48</v>
      </c>
      <c r="F73" s="91">
        <f>SUM(F74:F79)</f>
        <v>6600</v>
      </c>
      <c r="G73" s="91">
        <f>SUM(G74:G81)</f>
        <v>128615</v>
      </c>
      <c r="H73" s="156">
        <f>SUM(H74:H81)</f>
        <v>445.45000000000005</v>
      </c>
      <c r="I73" s="168">
        <f t="shared" si="5"/>
        <v>3.4634373906620537E-3</v>
      </c>
      <c r="J73" s="169">
        <f t="shared" si="6"/>
        <v>129060.45</v>
      </c>
    </row>
    <row r="74" spans="1:10" s="177" customFormat="1" x14ac:dyDescent="0.25">
      <c r="A74" s="10"/>
      <c r="B74" s="10"/>
      <c r="C74" s="51" t="s">
        <v>68</v>
      </c>
      <c r="D74" s="8" t="s">
        <v>12</v>
      </c>
      <c r="E74" s="58">
        <v>3125</v>
      </c>
      <c r="F74" s="93">
        <v>0</v>
      </c>
      <c r="G74" s="93">
        <v>3500</v>
      </c>
      <c r="H74" s="157">
        <v>0</v>
      </c>
      <c r="I74" s="170">
        <f t="shared" si="5"/>
        <v>0</v>
      </c>
      <c r="J74" s="171">
        <f t="shared" si="6"/>
        <v>3500</v>
      </c>
    </row>
    <row r="75" spans="1:10" s="177" customFormat="1" ht="15.75" customHeight="1" x14ac:dyDescent="0.25">
      <c r="A75" s="10"/>
      <c r="B75" s="10"/>
      <c r="C75" s="51" t="s">
        <v>69</v>
      </c>
      <c r="D75" s="11" t="s">
        <v>44</v>
      </c>
      <c r="E75" s="74">
        <v>0</v>
      </c>
      <c r="F75" s="93">
        <f>700</f>
        <v>700</v>
      </c>
      <c r="G75" s="93">
        <v>940</v>
      </c>
      <c r="H75" s="157">
        <v>-940</v>
      </c>
      <c r="I75" s="170">
        <f t="shared" si="5"/>
        <v>-1</v>
      </c>
      <c r="J75" s="171">
        <f t="shared" si="6"/>
        <v>0</v>
      </c>
    </row>
    <row r="76" spans="1:10" s="177" customFormat="1" ht="15" hidden="1" customHeight="1" x14ac:dyDescent="0.25">
      <c r="A76" s="10"/>
      <c r="B76" s="10"/>
      <c r="C76" s="12">
        <v>31</v>
      </c>
      <c r="D76" s="33" t="s">
        <v>30</v>
      </c>
      <c r="E76" s="56"/>
      <c r="F76" s="93"/>
      <c r="G76" s="93"/>
      <c r="H76" s="157"/>
      <c r="I76" s="170" t="e">
        <f t="shared" si="5"/>
        <v>#DIV/0!</v>
      </c>
      <c r="J76" s="171">
        <f t="shared" si="6"/>
        <v>0</v>
      </c>
    </row>
    <row r="77" spans="1:10" s="177" customFormat="1" x14ac:dyDescent="0.25">
      <c r="A77" s="10"/>
      <c r="B77" s="10"/>
      <c r="C77" s="51" t="s">
        <v>66</v>
      </c>
      <c r="D77" s="33" t="s">
        <v>48</v>
      </c>
      <c r="E77" s="56">
        <v>5057.82</v>
      </c>
      <c r="F77" s="93">
        <f>200+2700</f>
        <v>2900</v>
      </c>
      <c r="G77" s="93">
        <v>1300</v>
      </c>
      <c r="H77" s="157">
        <v>525.45000000000005</v>
      </c>
      <c r="I77" s="170">
        <f t="shared" si="5"/>
        <v>0.40419230769230774</v>
      </c>
      <c r="J77" s="171">
        <f t="shared" si="6"/>
        <v>1825.45</v>
      </c>
    </row>
    <row r="78" spans="1:10" s="177" customFormat="1" x14ac:dyDescent="0.25">
      <c r="A78" s="10"/>
      <c r="B78" s="10"/>
      <c r="C78" s="51" t="s">
        <v>64</v>
      </c>
      <c r="D78" s="11" t="s">
        <v>38</v>
      </c>
      <c r="E78" s="74">
        <v>352.66</v>
      </c>
      <c r="F78" s="93">
        <v>3000</v>
      </c>
      <c r="G78" s="93">
        <v>2000</v>
      </c>
      <c r="H78" s="157">
        <v>0</v>
      </c>
      <c r="I78" s="170">
        <f t="shared" si="5"/>
        <v>0</v>
      </c>
      <c r="J78" s="171">
        <f t="shared" si="6"/>
        <v>2000</v>
      </c>
    </row>
    <row r="79" spans="1:10" s="177" customFormat="1" ht="16.5" customHeight="1" x14ac:dyDescent="0.25">
      <c r="A79" s="10"/>
      <c r="B79" s="10"/>
      <c r="C79" s="8" t="s">
        <v>65</v>
      </c>
      <c r="D79" s="8" t="s">
        <v>49</v>
      </c>
      <c r="E79" s="58">
        <v>0</v>
      </c>
      <c r="F79" s="93">
        <v>0</v>
      </c>
      <c r="G79" s="93">
        <v>0</v>
      </c>
      <c r="H79" s="157">
        <v>0</v>
      </c>
      <c r="I79" s="170">
        <v>0</v>
      </c>
      <c r="J79" s="171">
        <f t="shared" si="6"/>
        <v>0</v>
      </c>
    </row>
    <row r="80" spans="1:10" s="177" customFormat="1" ht="16.5" customHeight="1" x14ac:dyDescent="0.25">
      <c r="A80" s="10"/>
      <c r="B80" s="10"/>
      <c r="C80" s="131" t="s">
        <v>160</v>
      </c>
      <c r="D80" s="8" t="s">
        <v>171</v>
      </c>
      <c r="E80" s="58"/>
      <c r="F80" s="93"/>
      <c r="G80" s="93">
        <v>120875</v>
      </c>
      <c r="H80" s="157">
        <v>0</v>
      </c>
      <c r="I80" s="170">
        <f t="shared" si="5"/>
        <v>0</v>
      </c>
      <c r="J80" s="171">
        <f t="shared" si="6"/>
        <v>120875</v>
      </c>
    </row>
    <row r="81" spans="1:10" s="177" customFormat="1" ht="15" customHeight="1" x14ac:dyDescent="0.25">
      <c r="A81" s="10"/>
      <c r="B81" s="10"/>
      <c r="C81" s="50" t="s">
        <v>147</v>
      </c>
      <c r="D81" s="8" t="s">
        <v>42</v>
      </c>
      <c r="E81" s="58">
        <v>0</v>
      </c>
      <c r="F81" s="93">
        <v>0</v>
      </c>
      <c r="G81" s="93">
        <v>0</v>
      </c>
      <c r="H81" s="157">
        <v>860</v>
      </c>
      <c r="I81" s="170">
        <v>0</v>
      </c>
      <c r="J81" s="171">
        <f t="shared" si="6"/>
        <v>860</v>
      </c>
    </row>
    <row r="82" spans="1:10" s="177" customFormat="1" ht="25.5" x14ac:dyDescent="0.25">
      <c r="A82" s="10"/>
      <c r="B82" s="39">
        <v>45</v>
      </c>
      <c r="C82" s="39"/>
      <c r="D82" s="49" t="s">
        <v>131</v>
      </c>
      <c r="E82" s="55">
        <f>E83+E84+E87+E88+E89+E85</f>
        <v>0</v>
      </c>
      <c r="F82" s="91">
        <f>F83</f>
        <v>0</v>
      </c>
      <c r="G82" s="91">
        <v>0</v>
      </c>
      <c r="H82" s="156">
        <v>0</v>
      </c>
      <c r="I82" s="168">
        <v>0</v>
      </c>
      <c r="J82" s="169">
        <f t="shared" si="6"/>
        <v>0</v>
      </c>
    </row>
    <row r="83" spans="1:10" s="177" customFormat="1" x14ac:dyDescent="0.25">
      <c r="A83" s="10"/>
      <c r="B83" s="10"/>
      <c r="C83" s="51" t="s">
        <v>68</v>
      </c>
      <c r="D83" s="8" t="s">
        <v>12</v>
      </c>
      <c r="E83" s="58">
        <v>0</v>
      </c>
      <c r="F83" s="93">
        <v>0</v>
      </c>
      <c r="G83" s="93">
        <v>0</v>
      </c>
      <c r="H83" s="157">
        <v>0</v>
      </c>
      <c r="I83" s="170">
        <v>0</v>
      </c>
      <c r="J83" s="171">
        <f t="shared" si="6"/>
        <v>0</v>
      </c>
    </row>
    <row r="85" spans="1:10" hidden="1" x14ac:dyDescent="0.25">
      <c r="C85" s="8">
        <v>11</v>
      </c>
      <c r="D85" s="8" t="s">
        <v>12</v>
      </c>
      <c r="E85" s="8"/>
      <c r="F85" s="35">
        <f>F74+F52+F46</f>
        <v>18957.97</v>
      </c>
      <c r="G85" s="35"/>
      <c r="H85" s="36">
        <f>H74+H52+H46</f>
        <v>72.039999999999992</v>
      </c>
    </row>
    <row r="86" spans="1:10" hidden="1" x14ac:dyDescent="0.25">
      <c r="C86" s="8">
        <v>13</v>
      </c>
      <c r="D86" s="11" t="s">
        <v>44</v>
      </c>
      <c r="E86" s="11"/>
      <c r="F86" s="35">
        <f>F75+F63+F55</f>
        <v>36994.229999999996</v>
      </c>
      <c r="G86" s="35"/>
      <c r="H86" s="36">
        <f>H75+H63+H55</f>
        <v>3172.18</v>
      </c>
    </row>
    <row r="87" spans="1:10" hidden="1" x14ac:dyDescent="0.25">
      <c r="C87" s="8">
        <v>21</v>
      </c>
      <c r="D87" s="8" t="s">
        <v>42</v>
      </c>
      <c r="E87" s="8"/>
      <c r="F87" s="35">
        <f>F61</f>
        <v>657.51</v>
      </c>
      <c r="G87" s="35"/>
      <c r="H87" s="36">
        <f>H61</f>
        <v>921.32</v>
      </c>
    </row>
    <row r="88" spans="1:10" hidden="1" x14ac:dyDescent="0.25">
      <c r="C88" s="8">
        <v>31</v>
      </c>
      <c r="D88" s="8" t="s">
        <v>30</v>
      </c>
      <c r="E88" s="8"/>
      <c r="F88" s="35">
        <f>F56</f>
        <v>284.56</v>
      </c>
      <c r="G88" s="35"/>
      <c r="H88" s="36">
        <f>H56</f>
        <v>-46</v>
      </c>
    </row>
    <row r="89" spans="1:10" hidden="1" x14ac:dyDescent="0.25">
      <c r="C89" s="8">
        <v>43</v>
      </c>
      <c r="D89" s="8" t="s">
        <v>48</v>
      </c>
      <c r="E89" s="8"/>
      <c r="F89" s="35">
        <f>F77+F57</f>
        <v>18183.7</v>
      </c>
      <c r="G89" s="35"/>
      <c r="H89" s="36">
        <f>H77+H57</f>
        <v>3675.45</v>
      </c>
    </row>
    <row r="90" spans="1:10" hidden="1" x14ac:dyDescent="0.25">
      <c r="C90" s="8">
        <v>52</v>
      </c>
      <c r="D90" s="8" t="s">
        <v>38</v>
      </c>
      <c r="E90" s="8"/>
      <c r="F90" s="35">
        <f>F78+F69+F65+F58+F49</f>
        <v>948470.08</v>
      </c>
      <c r="G90" s="35"/>
      <c r="H90" s="36">
        <f>H78+H69+H65+H58+H49</f>
        <v>1208.33</v>
      </c>
    </row>
    <row r="91" spans="1:10" hidden="1" x14ac:dyDescent="0.25">
      <c r="C91" s="8">
        <v>54</v>
      </c>
      <c r="D91" s="8" t="s">
        <v>49</v>
      </c>
      <c r="E91" s="8"/>
      <c r="F91" s="35">
        <f>F59</f>
        <v>1500</v>
      </c>
      <c r="G91" s="35"/>
      <c r="H91" s="36">
        <f>H59</f>
        <v>495.34</v>
      </c>
    </row>
    <row r="92" spans="1:10" hidden="1" x14ac:dyDescent="0.25">
      <c r="D92" s="34" t="s">
        <v>58</v>
      </c>
      <c r="E92" s="34"/>
      <c r="F92" s="37">
        <f>SUM(F85:F91)</f>
        <v>1025048.0499999999</v>
      </c>
      <c r="G92" s="37"/>
      <c r="H92" s="158">
        <f>SUM(H85:H91)</f>
        <v>9498.66</v>
      </c>
    </row>
    <row r="93" spans="1:10" hidden="1" x14ac:dyDescent="0.25"/>
    <row r="94" spans="1:10" hidden="1" x14ac:dyDescent="0.25"/>
    <row r="97" spans="4:10" ht="15.75" customHeight="1" x14ac:dyDescent="0.25">
      <c r="D97" s="262" t="s">
        <v>139</v>
      </c>
      <c r="E97" s="262"/>
      <c r="F97" s="262"/>
      <c r="G97" s="262"/>
      <c r="H97" s="262"/>
      <c r="I97" s="262"/>
      <c r="J97" s="262"/>
    </row>
    <row r="98" spans="4:10" ht="18" x14ac:dyDescent="0.25">
      <c r="D98" s="114"/>
      <c r="E98" s="114"/>
      <c r="F98" s="114"/>
      <c r="G98" s="114"/>
      <c r="H98" s="139"/>
    </row>
    <row r="99" spans="4:10" s="177" customFormat="1" ht="25.5" x14ac:dyDescent="0.25">
      <c r="D99" s="14" t="s">
        <v>93</v>
      </c>
      <c r="E99" s="14" t="s">
        <v>136</v>
      </c>
      <c r="F99" s="14" t="s">
        <v>137</v>
      </c>
      <c r="G99" s="14" t="s">
        <v>162</v>
      </c>
      <c r="H99" s="138" t="s">
        <v>161</v>
      </c>
      <c r="I99" s="14" t="s">
        <v>163</v>
      </c>
      <c r="J99" s="14" t="s">
        <v>164</v>
      </c>
    </row>
    <row r="100" spans="4:10" s="177" customFormat="1" x14ac:dyDescent="0.25">
      <c r="D100" s="98" t="s">
        <v>0</v>
      </c>
      <c r="E100" s="99">
        <v>848917.07</v>
      </c>
      <c r="F100" s="99">
        <f>F101+F114+F106+F108+F110</f>
        <v>1014651.84</v>
      </c>
      <c r="G100" s="99">
        <f>G101+G114+G106+G108+G110</f>
        <v>1262624.29</v>
      </c>
      <c r="H100" s="159">
        <f>H101+H114+H106+H108+H110</f>
        <v>9769.33</v>
      </c>
      <c r="I100" s="195">
        <f>H100/G100</f>
        <v>7.7373214481720447E-3</v>
      </c>
      <c r="J100" s="196">
        <f>H100+G100</f>
        <v>1272393.6200000001</v>
      </c>
    </row>
    <row r="101" spans="4:10" s="177" customFormat="1" x14ac:dyDescent="0.25">
      <c r="D101" s="100" t="s">
        <v>106</v>
      </c>
      <c r="E101" s="101">
        <f>E102+E105</f>
        <v>66161.919999999998</v>
      </c>
      <c r="F101" s="101">
        <f>F102+F105</f>
        <v>57351.200000000004</v>
      </c>
      <c r="G101" s="101">
        <f>G102+G105+G104+G103</f>
        <v>64289.29</v>
      </c>
      <c r="H101" s="105">
        <f t="shared" ref="H101" si="13">H102+H105</f>
        <v>2399.2199999999998</v>
      </c>
      <c r="I101" s="168">
        <f t="shared" ref="I101:I115" si="14">H101/G101</f>
        <v>3.7319124227379083E-2</v>
      </c>
      <c r="J101" s="169">
        <f t="shared" ref="J101:J115" si="15">H101+G101</f>
        <v>66688.509999999995</v>
      </c>
    </row>
    <row r="102" spans="4:10" s="177" customFormat="1" x14ac:dyDescent="0.25">
      <c r="D102" s="8" t="s">
        <v>104</v>
      </c>
      <c r="E102" s="93">
        <f>E24</f>
        <v>38391.75</v>
      </c>
      <c r="F102" s="93">
        <f>F24+F28+F29</f>
        <v>20356.97</v>
      </c>
      <c r="G102" s="93">
        <v>18140.27</v>
      </c>
      <c r="H102" s="157">
        <v>72.040000000000006</v>
      </c>
      <c r="I102" s="232">
        <f t="shared" ref="I102:I104" si="16">H102/G102</f>
        <v>3.9712749589724964E-3</v>
      </c>
      <c r="J102" s="233">
        <f t="shared" ref="J102:J104" si="17">H102+G102</f>
        <v>18212.310000000001</v>
      </c>
    </row>
    <row r="103" spans="4:10" s="177" customFormat="1" x14ac:dyDescent="0.25">
      <c r="D103" s="115" t="s">
        <v>172</v>
      </c>
      <c r="E103" s="93"/>
      <c r="F103" s="93"/>
      <c r="G103" s="93">
        <v>1609.83</v>
      </c>
      <c r="H103" s="157">
        <v>90.07</v>
      </c>
      <c r="I103" s="232">
        <f t="shared" si="16"/>
        <v>5.5950007143611438E-2</v>
      </c>
      <c r="J103" s="233">
        <f t="shared" si="17"/>
        <v>1699.8999999999999</v>
      </c>
    </row>
    <row r="104" spans="4:10" s="177" customFormat="1" x14ac:dyDescent="0.25">
      <c r="D104" s="115" t="s">
        <v>173</v>
      </c>
      <c r="E104" s="93"/>
      <c r="F104" s="93"/>
      <c r="G104" s="93">
        <v>9122.3799999999992</v>
      </c>
      <c r="H104" s="157">
        <v>510.36</v>
      </c>
      <c r="I104" s="232">
        <f t="shared" si="16"/>
        <v>5.5945926392016128E-2</v>
      </c>
      <c r="J104" s="233">
        <f t="shared" si="17"/>
        <v>9632.74</v>
      </c>
    </row>
    <row r="105" spans="4:10" s="177" customFormat="1" x14ac:dyDescent="0.25">
      <c r="D105" s="8" t="s">
        <v>105</v>
      </c>
      <c r="E105" s="93">
        <f>E30</f>
        <v>27770.17</v>
      </c>
      <c r="F105" s="93">
        <f>F30</f>
        <v>36994.230000000003</v>
      </c>
      <c r="G105" s="93">
        <v>35416.81</v>
      </c>
      <c r="H105" s="157">
        <v>2327.1799999999998</v>
      </c>
      <c r="I105" s="170">
        <f t="shared" si="14"/>
        <v>6.5708345839165072E-2</v>
      </c>
      <c r="J105" s="171">
        <f t="shared" si="15"/>
        <v>37743.99</v>
      </c>
    </row>
    <row r="106" spans="4:10" s="177" customFormat="1" x14ac:dyDescent="0.25">
      <c r="D106" s="100" t="s">
        <v>107</v>
      </c>
      <c r="E106" s="189">
        <f>E107</f>
        <v>187.82</v>
      </c>
      <c r="F106" s="189">
        <f t="shared" ref="F106:H106" si="18">F107</f>
        <v>255.66</v>
      </c>
      <c r="G106" s="189">
        <f t="shared" si="18"/>
        <v>130</v>
      </c>
      <c r="H106" s="197">
        <f t="shared" si="18"/>
        <v>0</v>
      </c>
      <c r="I106" s="168">
        <f t="shared" si="14"/>
        <v>0</v>
      </c>
      <c r="J106" s="169">
        <f t="shared" si="15"/>
        <v>130</v>
      </c>
    </row>
    <row r="107" spans="4:10" s="177" customFormat="1" x14ac:dyDescent="0.25">
      <c r="D107" s="8" t="s">
        <v>126</v>
      </c>
      <c r="E107" s="93">
        <f>E56</f>
        <v>187.82</v>
      </c>
      <c r="F107" s="93">
        <f>F18+F21</f>
        <v>255.66</v>
      </c>
      <c r="G107" s="93">
        <v>130</v>
      </c>
      <c r="H107" s="157">
        <v>0</v>
      </c>
      <c r="I107" s="170">
        <f t="shared" si="14"/>
        <v>0</v>
      </c>
      <c r="J107" s="171">
        <f t="shared" si="15"/>
        <v>130</v>
      </c>
    </row>
    <row r="108" spans="4:10" s="177" customFormat="1" ht="18.75" customHeight="1" x14ac:dyDescent="0.25">
      <c r="D108" s="103" t="s">
        <v>108</v>
      </c>
      <c r="E108" s="202">
        <f>E109</f>
        <v>12725.06</v>
      </c>
      <c r="F108" s="202">
        <f t="shared" ref="F108:H108" si="19">F109</f>
        <v>10000</v>
      </c>
      <c r="G108" s="202">
        <f t="shared" si="19"/>
        <v>11400</v>
      </c>
      <c r="H108" s="204">
        <f t="shared" si="19"/>
        <v>3675.45</v>
      </c>
      <c r="I108" s="168">
        <f t="shared" si="14"/>
        <v>0.32240789473684212</v>
      </c>
      <c r="J108" s="169">
        <f t="shared" si="15"/>
        <v>15075.45</v>
      </c>
    </row>
    <row r="109" spans="4:10" s="177" customFormat="1" ht="18" customHeight="1" x14ac:dyDescent="0.25">
      <c r="D109" s="11" t="s">
        <v>109</v>
      </c>
      <c r="E109" s="203">
        <f>E19</f>
        <v>12725.06</v>
      </c>
      <c r="F109" s="93">
        <f>F19</f>
        <v>10000</v>
      </c>
      <c r="G109" s="93">
        <v>11400</v>
      </c>
      <c r="H109" s="157">
        <v>3675.45</v>
      </c>
      <c r="I109" s="170">
        <f t="shared" si="14"/>
        <v>0.32240789473684212</v>
      </c>
      <c r="J109" s="171">
        <f t="shared" si="15"/>
        <v>15075.45</v>
      </c>
    </row>
    <row r="110" spans="4:10" s="177" customFormat="1" x14ac:dyDescent="0.25">
      <c r="D110" s="104" t="s">
        <v>110</v>
      </c>
      <c r="E110" s="202">
        <f>E111+E112</f>
        <v>769150.58</v>
      </c>
      <c r="F110" s="202">
        <f t="shared" ref="F110:H110" si="20">F111+F112</f>
        <v>946844.98</v>
      </c>
      <c r="G110" s="202">
        <f>G111+G112+G113</f>
        <v>1186205</v>
      </c>
      <c r="H110" s="204">
        <f t="shared" si="20"/>
        <v>1913.34</v>
      </c>
      <c r="I110" s="168">
        <f t="shared" si="14"/>
        <v>1.612992695191809E-3</v>
      </c>
      <c r="J110" s="169">
        <f t="shared" si="15"/>
        <v>1188118.3400000001</v>
      </c>
    </row>
    <row r="111" spans="4:10" s="177" customFormat="1" x14ac:dyDescent="0.25">
      <c r="D111" s="8" t="s">
        <v>125</v>
      </c>
      <c r="E111" s="203">
        <f>E14</f>
        <v>765599.62</v>
      </c>
      <c r="F111" s="93">
        <f>F14</f>
        <v>946250</v>
      </c>
      <c r="G111" s="93">
        <v>1064330</v>
      </c>
      <c r="H111" s="157">
        <v>1418</v>
      </c>
      <c r="I111" s="170">
        <f t="shared" si="14"/>
        <v>1.3322935555701708E-3</v>
      </c>
      <c r="J111" s="171">
        <f t="shared" si="15"/>
        <v>1065748</v>
      </c>
    </row>
    <row r="112" spans="4:10" s="177" customFormat="1" x14ac:dyDescent="0.25">
      <c r="D112" s="8" t="s">
        <v>111</v>
      </c>
      <c r="E112" s="203">
        <f>E15</f>
        <v>3550.96</v>
      </c>
      <c r="F112" s="93">
        <f>F15</f>
        <v>594.98</v>
      </c>
      <c r="G112" s="93">
        <v>1000</v>
      </c>
      <c r="H112" s="157">
        <v>495.34</v>
      </c>
      <c r="I112" s="170">
        <f t="shared" si="14"/>
        <v>0.49534</v>
      </c>
      <c r="J112" s="171">
        <f t="shared" si="15"/>
        <v>1495.34</v>
      </c>
    </row>
    <row r="113" spans="4:10" s="177" customFormat="1" x14ac:dyDescent="0.25">
      <c r="D113" s="8" t="s">
        <v>174</v>
      </c>
      <c r="E113" s="203"/>
      <c r="F113" s="93"/>
      <c r="G113" s="93">
        <v>120875</v>
      </c>
      <c r="H113" s="157">
        <v>0</v>
      </c>
      <c r="I113" s="170">
        <f t="shared" si="14"/>
        <v>0</v>
      </c>
      <c r="J113" s="171">
        <f t="shared" si="15"/>
        <v>120875</v>
      </c>
    </row>
    <row r="114" spans="4:10" s="177" customFormat="1" x14ac:dyDescent="0.25">
      <c r="D114" s="100" t="s">
        <v>149</v>
      </c>
      <c r="E114" s="189">
        <f>E115</f>
        <v>757.55</v>
      </c>
      <c r="F114" s="189">
        <f t="shared" ref="F114:H114" si="21">F115</f>
        <v>200</v>
      </c>
      <c r="G114" s="189">
        <f t="shared" si="21"/>
        <v>600</v>
      </c>
      <c r="H114" s="197">
        <f t="shared" si="21"/>
        <v>1781.32</v>
      </c>
      <c r="I114" s="168">
        <f t="shared" si="14"/>
        <v>2.9688666666666665</v>
      </c>
      <c r="J114" s="169">
        <f t="shared" si="15"/>
        <v>2381.3199999999997</v>
      </c>
    </row>
    <row r="115" spans="4:10" s="177" customFormat="1" x14ac:dyDescent="0.25">
      <c r="D115" s="8" t="s">
        <v>148</v>
      </c>
      <c r="E115" s="93">
        <f>E22</f>
        <v>757.55</v>
      </c>
      <c r="F115" s="93">
        <f>F22</f>
        <v>200</v>
      </c>
      <c r="G115" s="93">
        <v>600</v>
      </c>
      <c r="H115" s="157">
        <v>1781.32</v>
      </c>
      <c r="I115" s="170">
        <f t="shared" si="14"/>
        <v>2.9688666666666665</v>
      </c>
      <c r="J115" s="171">
        <f t="shared" si="15"/>
        <v>2381.3199999999997</v>
      </c>
    </row>
    <row r="116" spans="4:10" x14ac:dyDescent="0.25">
      <c r="D116" s="96"/>
      <c r="E116" s="97"/>
      <c r="F116" s="97"/>
      <c r="G116" s="97"/>
      <c r="H116" s="160"/>
    </row>
    <row r="117" spans="4:10" ht="18" x14ac:dyDescent="0.25">
      <c r="D117" s="114"/>
      <c r="E117" s="114"/>
      <c r="F117" s="114"/>
      <c r="G117" s="114"/>
      <c r="H117" s="139"/>
    </row>
    <row r="118" spans="4:10" s="177" customFormat="1" ht="25.5" x14ac:dyDescent="0.25">
      <c r="D118" s="14" t="s">
        <v>93</v>
      </c>
      <c r="E118" s="14" t="s">
        <v>136</v>
      </c>
      <c r="F118" s="14" t="s">
        <v>137</v>
      </c>
      <c r="G118" s="14" t="s">
        <v>162</v>
      </c>
      <c r="H118" s="138" t="s">
        <v>161</v>
      </c>
      <c r="I118" s="14" t="s">
        <v>163</v>
      </c>
      <c r="J118" s="14" t="s">
        <v>164</v>
      </c>
    </row>
    <row r="119" spans="4:10" s="177" customFormat="1" x14ac:dyDescent="0.25">
      <c r="D119" s="98" t="s">
        <v>1</v>
      </c>
      <c r="E119" s="198">
        <v>847028.32</v>
      </c>
      <c r="F119" s="199">
        <f>F120+F133+F125+F127+F129</f>
        <v>1026777.0499999999</v>
      </c>
      <c r="G119" s="200">
        <f>G120+G133+G125+G127+G129</f>
        <v>1262624.29</v>
      </c>
      <c r="H119" s="201">
        <f>H120+H133+H125+H127+H129</f>
        <v>9769.33</v>
      </c>
      <c r="I119" s="195">
        <f>H119/G119</f>
        <v>7.7373214481720447E-3</v>
      </c>
      <c r="J119" s="196">
        <f>H119+G119</f>
        <v>1272393.6200000001</v>
      </c>
    </row>
    <row r="120" spans="4:10" s="177" customFormat="1" x14ac:dyDescent="0.25">
      <c r="D120" s="100" t="s">
        <v>106</v>
      </c>
      <c r="E120" s="101">
        <f>E121+E124</f>
        <v>66161.919999999998</v>
      </c>
      <c r="F120" s="101">
        <f>F121+F124</f>
        <v>57351.200000000004</v>
      </c>
      <c r="G120" s="101">
        <f>G121+G124+G122+G123</f>
        <v>64289.29</v>
      </c>
      <c r="H120" s="105">
        <f t="shared" ref="H120" si="22">H121+H124</f>
        <v>2399.2199999999998</v>
      </c>
      <c r="I120" s="168">
        <f t="shared" ref="I120:I134" si="23">H120/G120</f>
        <v>3.7319124227379083E-2</v>
      </c>
      <c r="J120" s="169">
        <f t="shared" ref="J120:J134" si="24">H120+G120</f>
        <v>66688.509999999995</v>
      </c>
    </row>
    <row r="121" spans="4:10" s="177" customFormat="1" ht="14.25" customHeight="1" x14ac:dyDescent="0.25">
      <c r="D121" s="8" t="s">
        <v>104</v>
      </c>
      <c r="E121" s="93">
        <v>38391.75</v>
      </c>
      <c r="F121" s="93">
        <f>F68+F64+F52+F46</f>
        <v>20356.97</v>
      </c>
      <c r="G121" s="93">
        <v>18140.27</v>
      </c>
      <c r="H121" s="157">
        <v>72.040000000000006</v>
      </c>
      <c r="I121" s="170">
        <f t="shared" si="23"/>
        <v>3.9712749589724964E-3</v>
      </c>
      <c r="J121" s="171">
        <f t="shared" si="24"/>
        <v>18212.310000000001</v>
      </c>
    </row>
    <row r="122" spans="4:10" s="177" customFormat="1" ht="14.25" customHeight="1" x14ac:dyDescent="0.25">
      <c r="D122" s="115" t="s">
        <v>172</v>
      </c>
      <c r="E122" s="93"/>
      <c r="F122" s="93"/>
      <c r="G122" s="93">
        <v>1609.83</v>
      </c>
      <c r="H122" s="157">
        <v>90.07</v>
      </c>
      <c r="I122" s="170">
        <f t="shared" ref="I122:I123" si="25">H122/G122</f>
        <v>5.5950007143611438E-2</v>
      </c>
      <c r="J122" s="171">
        <f t="shared" ref="J122:J123" si="26">H122+G122</f>
        <v>1699.8999999999999</v>
      </c>
    </row>
    <row r="123" spans="4:10" s="177" customFormat="1" ht="14.25" customHeight="1" x14ac:dyDescent="0.25">
      <c r="D123" s="115" t="s">
        <v>173</v>
      </c>
      <c r="E123" s="93"/>
      <c r="F123" s="93"/>
      <c r="G123" s="93">
        <v>9122.3799999999992</v>
      </c>
      <c r="H123" s="157">
        <v>510.36</v>
      </c>
      <c r="I123" s="170">
        <f t="shared" si="25"/>
        <v>5.5945926392016128E-2</v>
      </c>
      <c r="J123" s="171">
        <f t="shared" si="26"/>
        <v>9632.74</v>
      </c>
    </row>
    <row r="124" spans="4:10" s="177" customFormat="1" x14ac:dyDescent="0.25">
      <c r="D124" s="8" t="s">
        <v>105</v>
      </c>
      <c r="E124" s="93">
        <v>27770.17</v>
      </c>
      <c r="F124" s="93">
        <f>F105</f>
        <v>36994.230000000003</v>
      </c>
      <c r="G124" s="93">
        <v>35416.81</v>
      </c>
      <c r="H124" s="157">
        <v>2327.1799999999998</v>
      </c>
      <c r="I124" s="170">
        <f t="shared" si="23"/>
        <v>6.5708345839165072E-2</v>
      </c>
      <c r="J124" s="171">
        <f t="shared" si="24"/>
        <v>37743.99</v>
      </c>
    </row>
    <row r="125" spans="4:10" s="177" customFormat="1" x14ac:dyDescent="0.25">
      <c r="D125" s="100" t="s">
        <v>129</v>
      </c>
      <c r="E125" s="189">
        <f>E126</f>
        <v>528.99</v>
      </c>
      <c r="F125" s="189">
        <f>F126</f>
        <v>284.56</v>
      </c>
      <c r="G125" s="189">
        <f t="shared" ref="G125:H125" si="27">G126</f>
        <v>130</v>
      </c>
      <c r="H125" s="197">
        <f t="shared" si="27"/>
        <v>0</v>
      </c>
      <c r="I125" s="168">
        <f t="shared" si="23"/>
        <v>0</v>
      </c>
      <c r="J125" s="169">
        <f t="shared" si="24"/>
        <v>130</v>
      </c>
    </row>
    <row r="126" spans="4:10" s="177" customFormat="1" x14ac:dyDescent="0.25">
      <c r="D126" s="8" t="s">
        <v>126</v>
      </c>
      <c r="E126" s="93">
        <v>528.99</v>
      </c>
      <c r="F126" s="93">
        <f>F56</f>
        <v>284.56</v>
      </c>
      <c r="G126" s="93">
        <v>130</v>
      </c>
      <c r="H126" s="157">
        <v>0</v>
      </c>
      <c r="I126" s="170">
        <f t="shared" si="23"/>
        <v>0</v>
      </c>
      <c r="J126" s="171">
        <f t="shared" si="24"/>
        <v>130</v>
      </c>
    </row>
    <row r="127" spans="4:10" s="177" customFormat="1" ht="17.25" customHeight="1" x14ac:dyDescent="0.25">
      <c r="D127" s="103" t="s">
        <v>128</v>
      </c>
      <c r="E127" s="202">
        <f>E128</f>
        <v>17484.849999999999</v>
      </c>
      <c r="F127" s="189">
        <f>F128</f>
        <v>18183.7</v>
      </c>
      <c r="G127" s="189">
        <f t="shared" ref="G127:H127" si="28">G128</f>
        <v>11400</v>
      </c>
      <c r="H127" s="197">
        <f t="shared" si="28"/>
        <v>3675.45</v>
      </c>
      <c r="I127" s="168">
        <f t="shared" si="23"/>
        <v>0.32240789473684212</v>
      </c>
      <c r="J127" s="169">
        <f t="shared" si="24"/>
        <v>15075.45</v>
      </c>
    </row>
    <row r="128" spans="4:10" s="177" customFormat="1" ht="15" customHeight="1" x14ac:dyDescent="0.25">
      <c r="D128" s="11" t="s">
        <v>109</v>
      </c>
      <c r="E128" s="203">
        <v>17484.849999999999</v>
      </c>
      <c r="F128" s="93">
        <f>F77+F57</f>
        <v>18183.7</v>
      </c>
      <c r="G128" s="93">
        <v>11400</v>
      </c>
      <c r="H128" s="157">
        <v>3675.45</v>
      </c>
      <c r="I128" s="170">
        <f t="shared" si="23"/>
        <v>0.32240789473684212</v>
      </c>
      <c r="J128" s="171">
        <f t="shared" si="24"/>
        <v>15075.45</v>
      </c>
    </row>
    <row r="129" spans="4:10" s="177" customFormat="1" x14ac:dyDescent="0.25">
      <c r="D129" s="104" t="s">
        <v>110</v>
      </c>
      <c r="E129" s="202">
        <f>E130+E131</f>
        <v>772239.3899999999</v>
      </c>
      <c r="F129" s="189">
        <f>F130+F131</f>
        <v>950300.08</v>
      </c>
      <c r="G129" s="189">
        <f>G130+G131+G132</f>
        <v>1186205</v>
      </c>
      <c r="H129" s="197">
        <f t="shared" ref="H129" si="29">H130+H131</f>
        <v>1913.34</v>
      </c>
      <c r="I129" s="168">
        <f t="shared" si="23"/>
        <v>1.612992695191809E-3</v>
      </c>
      <c r="J129" s="169">
        <f t="shared" si="24"/>
        <v>1188118.3400000001</v>
      </c>
    </row>
    <row r="130" spans="4:10" s="177" customFormat="1" x14ac:dyDescent="0.25">
      <c r="D130" s="8" t="s">
        <v>127</v>
      </c>
      <c r="E130" s="203">
        <v>768149.7</v>
      </c>
      <c r="F130" s="93">
        <f>F78+F71+F69+F65+F49+F58</f>
        <v>948800.08</v>
      </c>
      <c r="G130" s="93">
        <v>1064330</v>
      </c>
      <c r="H130" s="157">
        <v>1418</v>
      </c>
      <c r="I130" s="170">
        <f t="shared" si="23"/>
        <v>1.3322935555701708E-3</v>
      </c>
      <c r="J130" s="171">
        <f t="shared" si="24"/>
        <v>1065748</v>
      </c>
    </row>
    <row r="131" spans="4:10" s="177" customFormat="1" x14ac:dyDescent="0.25">
      <c r="D131" s="8" t="s">
        <v>111</v>
      </c>
      <c r="E131" s="203">
        <v>4089.69</v>
      </c>
      <c r="F131" s="93">
        <f>F59</f>
        <v>1500</v>
      </c>
      <c r="G131" s="93">
        <v>1000</v>
      </c>
      <c r="H131" s="157">
        <v>495.34</v>
      </c>
      <c r="I131" s="170">
        <f t="shared" si="23"/>
        <v>0.49534</v>
      </c>
      <c r="J131" s="171">
        <f t="shared" si="24"/>
        <v>1495.34</v>
      </c>
    </row>
    <row r="132" spans="4:10" s="177" customFormat="1" x14ac:dyDescent="0.25">
      <c r="D132" s="8" t="s">
        <v>174</v>
      </c>
      <c r="E132" s="203"/>
      <c r="F132" s="93"/>
      <c r="G132" s="93">
        <v>120875</v>
      </c>
      <c r="H132" s="157">
        <v>0</v>
      </c>
      <c r="I132" s="170">
        <f t="shared" si="23"/>
        <v>0</v>
      </c>
      <c r="J132" s="171">
        <f t="shared" si="24"/>
        <v>120875</v>
      </c>
    </row>
    <row r="133" spans="4:10" s="177" customFormat="1" x14ac:dyDescent="0.25">
      <c r="D133" s="100" t="s">
        <v>149</v>
      </c>
      <c r="E133" s="189">
        <f>E134</f>
        <v>765.75</v>
      </c>
      <c r="F133" s="189">
        <f>F134</f>
        <v>657.51</v>
      </c>
      <c r="G133" s="189">
        <f t="shared" ref="G133:H133" si="30">G134</f>
        <v>600</v>
      </c>
      <c r="H133" s="197">
        <f t="shared" si="30"/>
        <v>1781.32</v>
      </c>
      <c r="I133" s="168">
        <f t="shared" si="23"/>
        <v>2.9688666666666665</v>
      </c>
      <c r="J133" s="169">
        <f t="shared" si="24"/>
        <v>2381.3199999999997</v>
      </c>
    </row>
    <row r="134" spans="4:10" s="177" customFormat="1" x14ac:dyDescent="0.25">
      <c r="D134" s="8" t="s">
        <v>150</v>
      </c>
      <c r="E134" s="93">
        <v>765.75</v>
      </c>
      <c r="F134" s="93">
        <f>F61</f>
        <v>657.51</v>
      </c>
      <c r="G134" s="93">
        <v>600</v>
      </c>
      <c r="H134" s="157">
        <v>1781.32</v>
      </c>
      <c r="I134" s="170">
        <f t="shared" si="23"/>
        <v>2.9688666666666665</v>
      </c>
      <c r="J134" s="171">
        <f t="shared" si="24"/>
        <v>2381.3199999999997</v>
      </c>
    </row>
    <row r="140" spans="4:10" ht="15.75" customHeight="1" x14ac:dyDescent="0.25">
      <c r="D140" s="262" t="s">
        <v>140</v>
      </c>
      <c r="E140" s="262"/>
      <c r="F140" s="262"/>
      <c r="G140" s="262"/>
      <c r="H140" s="262"/>
      <c r="I140" s="262"/>
      <c r="J140" s="262"/>
    </row>
    <row r="141" spans="4:10" ht="18" x14ac:dyDescent="0.25">
      <c r="D141" s="114"/>
      <c r="E141" s="114"/>
      <c r="F141" s="114"/>
      <c r="G141" s="114"/>
      <c r="H141" s="139"/>
    </row>
    <row r="142" spans="4:10" s="177" customFormat="1" ht="25.5" x14ac:dyDescent="0.25">
      <c r="D142" s="14" t="s">
        <v>18</v>
      </c>
      <c r="E142" s="14" t="s">
        <v>136</v>
      </c>
      <c r="F142" s="14" t="s">
        <v>137</v>
      </c>
      <c r="G142" s="14" t="s">
        <v>162</v>
      </c>
      <c r="H142" s="138" t="s">
        <v>161</v>
      </c>
      <c r="I142" s="14" t="s">
        <v>163</v>
      </c>
      <c r="J142" s="14" t="s">
        <v>164</v>
      </c>
    </row>
    <row r="143" spans="4:10" s="177" customFormat="1" x14ac:dyDescent="0.25">
      <c r="D143" s="40" t="s">
        <v>19</v>
      </c>
      <c r="E143" s="57">
        <f>E144</f>
        <v>847028.32</v>
      </c>
      <c r="F143" s="92">
        <f>F144</f>
        <v>1026777.0499999999</v>
      </c>
      <c r="G143" s="92">
        <v>1265749.29</v>
      </c>
      <c r="H143" s="155">
        <f>H144</f>
        <v>7184.33</v>
      </c>
      <c r="I143" s="195">
        <f>H143/G143</f>
        <v>5.675950250779915E-3</v>
      </c>
      <c r="J143" s="196">
        <f>H143+G143</f>
        <v>1272933.6200000001</v>
      </c>
    </row>
    <row r="144" spans="4:10" s="177" customFormat="1" x14ac:dyDescent="0.25">
      <c r="D144" s="103" t="s">
        <v>54</v>
      </c>
      <c r="E144" s="105">
        <f>E145+E146</f>
        <v>847028.32</v>
      </c>
      <c r="F144" s="189">
        <f>F145+F146</f>
        <v>1026777.0499999999</v>
      </c>
      <c r="G144" s="189">
        <f>G145+G146</f>
        <v>1265749.29</v>
      </c>
      <c r="H144" s="197">
        <f>H145+H146</f>
        <v>7184.33</v>
      </c>
      <c r="I144" s="168">
        <f t="shared" ref="I144:I146" si="31">H144/G144</f>
        <v>5.675950250779915E-3</v>
      </c>
      <c r="J144" s="169">
        <f t="shared" ref="J144:J146" si="32">H144+G144</f>
        <v>1272933.6200000001</v>
      </c>
    </row>
    <row r="145" spans="4:10" s="177" customFormat="1" ht="25.5" x14ac:dyDescent="0.25">
      <c r="D145" s="11" t="s">
        <v>55</v>
      </c>
      <c r="E145" s="74">
        <f>E119-E146</f>
        <v>829543.47</v>
      </c>
      <c r="F145" s="93">
        <v>1011493.35</v>
      </c>
      <c r="G145" s="93">
        <f>G143-G146</f>
        <v>1213849.29</v>
      </c>
      <c r="H145" s="157">
        <v>17098.66</v>
      </c>
      <c r="I145" s="170">
        <f t="shared" si="31"/>
        <v>1.4086312148355748E-2</v>
      </c>
      <c r="J145" s="171">
        <f t="shared" si="32"/>
        <v>1230947.95</v>
      </c>
    </row>
    <row r="146" spans="4:10" s="177" customFormat="1" x14ac:dyDescent="0.25">
      <c r="D146" s="8" t="s">
        <v>59</v>
      </c>
      <c r="E146" s="58">
        <v>17484.849999999999</v>
      </c>
      <c r="F146" s="93">
        <v>15283.7</v>
      </c>
      <c r="G146" s="93">
        <f>11400+40500</f>
        <v>51900</v>
      </c>
      <c r="H146" s="157">
        <v>-9914.33</v>
      </c>
      <c r="I146" s="170">
        <f t="shared" si="31"/>
        <v>-0.19102755298651253</v>
      </c>
      <c r="J146" s="171">
        <f t="shared" si="32"/>
        <v>41985.67</v>
      </c>
    </row>
  </sheetData>
  <mergeCells count="10">
    <mergeCell ref="D140:J140"/>
    <mergeCell ref="B43:D43"/>
    <mergeCell ref="B11:D11"/>
    <mergeCell ref="A39:D39"/>
    <mergeCell ref="A1:K1"/>
    <mergeCell ref="A2:K2"/>
    <mergeCell ref="A4:J4"/>
    <mergeCell ref="A6:J6"/>
    <mergeCell ref="A8:J8"/>
    <mergeCell ref="D97:J97"/>
  </mergeCells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115" zoomScaleNormal="115" workbookViewId="0">
      <selection activeCell="G50" sqref="G5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6.7109375" hidden="1" customWidth="1"/>
    <col min="6" max="6" width="16.5703125" hidden="1" customWidth="1"/>
    <col min="7" max="7" width="21.42578125" customWidth="1"/>
    <col min="8" max="8" width="21.42578125" style="144" customWidth="1"/>
    <col min="9" max="9" width="13.42578125" customWidth="1"/>
    <col min="10" max="10" width="18" customWidth="1"/>
  </cols>
  <sheetData>
    <row r="1" spans="1:11" ht="36.75" customHeight="1" x14ac:dyDescent="0.25">
      <c r="A1" s="269" t="s">
        <v>167</v>
      </c>
      <c r="B1" s="269"/>
      <c r="C1" s="269"/>
      <c r="D1" s="269"/>
      <c r="E1" s="269"/>
      <c r="F1" s="269"/>
      <c r="G1" s="269"/>
      <c r="H1" s="269"/>
      <c r="I1" s="269"/>
      <c r="J1" s="269"/>
      <c r="K1" s="133"/>
    </row>
    <row r="2" spans="1:11" ht="21.75" customHeight="1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t="18" customHeight="1" x14ac:dyDescent="0.25">
      <c r="A3" s="3"/>
      <c r="B3" s="3"/>
      <c r="C3" s="3"/>
      <c r="D3" s="3"/>
      <c r="E3" s="17"/>
      <c r="F3" s="3"/>
      <c r="G3" s="17"/>
      <c r="H3" s="132"/>
    </row>
    <row r="4" spans="1:11" ht="15.75" customHeight="1" x14ac:dyDescent="0.25">
      <c r="A4" s="262" t="s">
        <v>23</v>
      </c>
      <c r="B4" s="262"/>
      <c r="C4" s="262"/>
      <c r="D4" s="134"/>
      <c r="E4" s="134"/>
      <c r="F4" s="134"/>
      <c r="G4" s="134"/>
      <c r="H4" s="161"/>
    </row>
    <row r="5" spans="1:11" ht="15.75" x14ac:dyDescent="0.25">
      <c r="A5" s="113"/>
      <c r="B5" s="113"/>
      <c r="C5" s="113"/>
      <c r="D5" s="113"/>
      <c r="E5" s="113"/>
      <c r="F5" s="113"/>
      <c r="G5" s="113"/>
      <c r="H5" s="161"/>
    </row>
    <row r="6" spans="1:11" ht="31.5" customHeight="1" x14ac:dyDescent="0.25">
      <c r="A6" s="262" t="s">
        <v>141</v>
      </c>
      <c r="B6" s="262"/>
      <c r="C6" s="262"/>
      <c r="D6" s="262"/>
      <c r="E6" s="262"/>
      <c r="F6" s="262"/>
      <c r="G6" s="262"/>
      <c r="H6" s="262"/>
      <c r="I6" s="262"/>
      <c r="J6" s="262"/>
    </row>
    <row r="7" spans="1:11" ht="18" x14ac:dyDescent="0.25">
      <c r="A7" s="3"/>
      <c r="B7" s="3"/>
      <c r="C7" s="3"/>
      <c r="D7" s="3"/>
      <c r="E7" s="17"/>
      <c r="F7" s="3"/>
      <c r="G7" s="17"/>
      <c r="H7" s="139"/>
    </row>
    <row r="8" spans="1:11" ht="18" customHeight="1" x14ac:dyDescent="0.25">
      <c r="A8" s="262" t="s">
        <v>142</v>
      </c>
      <c r="B8" s="262"/>
      <c r="C8" s="262"/>
      <c r="D8" s="262"/>
      <c r="E8" s="262"/>
      <c r="F8" s="262"/>
      <c r="G8" s="262"/>
      <c r="H8" s="262"/>
      <c r="I8" s="262"/>
      <c r="J8" s="262"/>
    </row>
    <row r="9" spans="1:11" ht="18" x14ac:dyDescent="0.25">
      <c r="A9" s="3"/>
      <c r="B9" s="3"/>
      <c r="C9" s="3"/>
      <c r="D9" s="3"/>
      <c r="E9" s="17"/>
      <c r="F9" s="3"/>
      <c r="G9" s="17"/>
      <c r="H9" s="139"/>
    </row>
    <row r="10" spans="1:11" s="177" customFormat="1" ht="38.25" customHeight="1" x14ac:dyDescent="0.25">
      <c r="A10" s="14" t="s">
        <v>8</v>
      </c>
      <c r="B10" s="135" t="s">
        <v>9</v>
      </c>
      <c r="C10" s="135" t="s">
        <v>10</v>
      </c>
      <c r="D10" s="135" t="s">
        <v>37</v>
      </c>
      <c r="E10" s="14" t="s">
        <v>136</v>
      </c>
      <c r="F10" s="14" t="s">
        <v>137</v>
      </c>
      <c r="G10" s="14" t="s">
        <v>162</v>
      </c>
      <c r="H10" s="138" t="s">
        <v>161</v>
      </c>
      <c r="I10" s="14" t="s">
        <v>163</v>
      </c>
      <c r="J10" s="14" t="s">
        <v>164</v>
      </c>
    </row>
    <row r="11" spans="1:11" s="177" customFormat="1" ht="25.5" x14ac:dyDescent="0.25">
      <c r="A11" s="40">
        <v>8</v>
      </c>
      <c r="B11" s="40"/>
      <c r="C11" s="40"/>
      <c r="D11" s="40" t="s">
        <v>20</v>
      </c>
      <c r="E11" s="210">
        <v>0</v>
      </c>
      <c r="F11" s="211">
        <v>0</v>
      </c>
      <c r="G11" s="211">
        <v>0</v>
      </c>
      <c r="H11" s="212">
        <v>0</v>
      </c>
      <c r="I11" s="212">
        <v>0</v>
      </c>
      <c r="J11" s="212">
        <v>0</v>
      </c>
    </row>
    <row r="12" spans="1:11" s="177" customFormat="1" x14ac:dyDescent="0.25">
      <c r="A12" s="6"/>
      <c r="B12" s="10">
        <v>84</v>
      </c>
      <c r="C12" s="10"/>
      <c r="D12" s="10" t="s">
        <v>27</v>
      </c>
      <c r="E12" s="222">
        <v>0</v>
      </c>
      <c r="F12" s="223">
        <v>0</v>
      </c>
      <c r="G12" s="223">
        <v>0</v>
      </c>
      <c r="H12" s="224">
        <v>0</v>
      </c>
      <c r="I12" s="224">
        <v>0</v>
      </c>
      <c r="J12" s="224">
        <v>0</v>
      </c>
    </row>
    <row r="13" spans="1:11" s="177" customFormat="1" ht="25.5" x14ac:dyDescent="0.25">
      <c r="A13" s="7"/>
      <c r="B13" s="7"/>
      <c r="C13" s="8">
        <v>81</v>
      </c>
      <c r="D13" s="11" t="s">
        <v>28</v>
      </c>
      <c r="E13" s="216">
        <v>0</v>
      </c>
      <c r="F13" s="217">
        <v>0</v>
      </c>
      <c r="G13" s="217">
        <v>0</v>
      </c>
      <c r="H13" s="218">
        <v>0</v>
      </c>
      <c r="I13" s="218">
        <v>0</v>
      </c>
      <c r="J13" s="218">
        <v>0</v>
      </c>
    </row>
    <row r="14" spans="1:11" s="177" customFormat="1" ht="25.5" x14ac:dyDescent="0.25">
      <c r="A14" s="126">
        <v>5</v>
      </c>
      <c r="B14" s="127"/>
      <c r="C14" s="127"/>
      <c r="D14" s="100" t="s">
        <v>21</v>
      </c>
      <c r="E14" s="213">
        <v>0</v>
      </c>
      <c r="F14" s="214">
        <v>0</v>
      </c>
      <c r="G14" s="214">
        <v>0</v>
      </c>
      <c r="H14" s="215">
        <v>0</v>
      </c>
      <c r="I14" s="215">
        <v>0</v>
      </c>
      <c r="J14" s="215">
        <v>0</v>
      </c>
    </row>
    <row r="15" spans="1:11" s="177" customFormat="1" ht="25.5" x14ac:dyDescent="0.25">
      <c r="A15" s="10"/>
      <c r="B15" s="10">
        <v>54</v>
      </c>
      <c r="C15" s="10"/>
      <c r="D15" s="19" t="s">
        <v>29</v>
      </c>
      <c r="E15" s="222">
        <v>0</v>
      </c>
      <c r="F15" s="223">
        <v>0</v>
      </c>
      <c r="G15" s="223">
        <v>0</v>
      </c>
      <c r="H15" s="224">
        <v>0</v>
      </c>
      <c r="I15" s="224">
        <v>0</v>
      </c>
      <c r="J15" s="224">
        <v>0</v>
      </c>
    </row>
    <row r="16" spans="1:11" s="177" customFormat="1" x14ac:dyDescent="0.25">
      <c r="A16" s="10"/>
      <c r="B16" s="10"/>
      <c r="C16" s="8">
        <v>11</v>
      </c>
      <c r="D16" s="8" t="s">
        <v>12</v>
      </c>
      <c r="E16" s="216">
        <v>0</v>
      </c>
      <c r="F16" s="217">
        <v>0</v>
      </c>
      <c r="G16" s="217">
        <v>0</v>
      </c>
      <c r="H16" s="218">
        <v>0</v>
      </c>
      <c r="I16" s="218">
        <v>0</v>
      </c>
      <c r="J16" s="218">
        <v>0</v>
      </c>
    </row>
    <row r="17" spans="1:10" s="177" customFormat="1" x14ac:dyDescent="0.25">
      <c r="A17" s="10"/>
      <c r="B17" s="10"/>
      <c r="C17" s="8">
        <v>31</v>
      </c>
      <c r="D17" s="8" t="s">
        <v>30</v>
      </c>
      <c r="E17" s="216">
        <v>0</v>
      </c>
      <c r="F17" s="217">
        <v>0</v>
      </c>
      <c r="G17" s="217">
        <v>0</v>
      </c>
      <c r="H17" s="218">
        <v>0</v>
      </c>
      <c r="I17" s="218">
        <v>0</v>
      </c>
      <c r="J17" s="218">
        <v>0</v>
      </c>
    </row>
    <row r="22" spans="1:10" ht="15.75" customHeight="1" x14ac:dyDescent="0.25">
      <c r="A22" s="134"/>
      <c r="B22" s="134"/>
      <c r="C22" s="134"/>
      <c r="D22" s="262" t="s">
        <v>143</v>
      </c>
      <c r="E22" s="262"/>
      <c r="F22" s="262"/>
      <c r="G22" s="262"/>
      <c r="H22" s="262"/>
      <c r="I22" s="262"/>
      <c r="J22" s="262"/>
    </row>
    <row r="23" spans="1:10" ht="18" x14ac:dyDescent="0.25">
      <c r="D23" s="114"/>
      <c r="E23" s="114"/>
      <c r="F23" s="114"/>
      <c r="G23" s="114"/>
      <c r="H23" s="139"/>
    </row>
    <row r="24" spans="1:10" s="177" customFormat="1" ht="25.5" x14ac:dyDescent="0.25">
      <c r="D24" s="14" t="s">
        <v>93</v>
      </c>
      <c r="E24" s="14" t="s">
        <v>136</v>
      </c>
      <c r="F24" s="14" t="s">
        <v>137</v>
      </c>
      <c r="G24" s="14" t="s">
        <v>162</v>
      </c>
      <c r="H24" s="138" t="s">
        <v>161</v>
      </c>
      <c r="I24" s="14" t="s">
        <v>163</v>
      </c>
      <c r="J24" s="14" t="s">
        <v>164</v>
      </c>
    </row>
    <row r="25" spans="1:10" s="177" customFormat="1" x14ac:dyDescent="0.25">
      <c r="D25" s="40" t="s">
        <v>98</v>
      </c>
      <c r="E25" s="210">
        <v>0</v>
      </c>
      <c r="F25" s="211">
        <v>0</v>
      </c>
      <c r="G25" s="211">
        <v>0</v>
      </c>
      <c r="H25" s="212">
        <v>0</v>
      </c>
      <c r="I25" s="212">
        <v>0</v>
      </c>
      <c r="J25" s="212">
        <v>0</v>
      </c>
    </row>
    <row r="26" spans="1:10" s="177" customFormat="1" ht="25.5" x14ac:dyDescent="0.25">
      <c r="D26" s="103" t="s">
        <v>99</v>
      </c>
      <c r="E26" s="213">
        <v>0</v>
      </c>
      <c r="F26" s="214">
        <v>0</v>
      </c>
      <c r="G26" s="214">
        <v>0</v>
      </c>
      <c r="H26" s="215">
        <v>0</v>
      </c>
      <c r="I26" s="215">
        <v>0</v>
      </c>
      <c r="J26" s="215">
        <v>0</v>
      </c>
    </row>
    <row r="27" spans="1:10" s="177" customFormat="1" ht="25.5" x14ac:dyDescent="0.25">
      <c r="D27" s="11" t="s">
        <v>100</v>
      </c>
      <c r="E27" s="216">
        <v>0</v>
      </c>
      <c r="F27" s="217">
        <v>0</v>
      </c>
      <c r="G27" s="217">
        <v>0</v>
      </c>
      <c r="H27" s="218">
        <v>0</v>
      </c>
      <c r="I27" s="218">
        <v>0</v>
      </c>
      <c r="J27" s="218">
        <v>0</v>
      </c>
    </row>
    <row r="28" spans="1:10" s="177" customFormat="1" x14ac:dyDescent="0.25">
      <c r="D28" s="40" t="s">
        <v>101</v>
      </c>
      <c r="E28" s="210">
        <v>0</v>
      </c>
      <c r="F28" s="211">
        <v>0</v>
      </c>
      <c r="G28" s="211">
        <v>0</v>
      </c>
      <c r="H28" s="212">
        <v>0</v>
      </c>
      <c r="I28" s="212">
        <v>0</v>
      </c>
      <c r="J28" s="212">
        <v>0</v>
      </c>
    </row>
    <row r="29" spans="1:10" s="177" customFormat="1" x14ac:dyDescent="0.25">
      <c r="D29" s="18" t="s">
        <v>94</v>
      </c>
      <c r="E29" s="219">
        <v>0</v>
      </c>
      <c r="F29" s="220">
        <v>0</v>
      </c>
      <c r="G29" s="220">
        <v>0</v>
      </c>
      <c r="H29" s="221">
        <v>0</v>
      </c>
      <c r="I29" s="221">
        <v>0</v>
      </c>
      <c r="J29" s="221">
        <v>0</v>
      </c>
    </row>
    <row r="30" spans="1:10" s="177" customFormat="1" x14ac:dyDescent="0.25">
      <c r="D30" s="8" t="s">
        <v>95</v>
      </c>
      <c r="E30" s="216">
        <v>0</v>
      </c>
      <c r="F30" s="217">
        <v>0</v>
      </c>
      <c r="G30" s="217">
        <v>0</v>
      </c>
      <c r="H30" s="218">
        <v>0</v>
      </c>
      <c r="I30" s="218">
        <v>0</v>
      </c>
      <c r="J30" s="218">
        <v>0</v>
      </c>
    </row>
    <row r="31" spans="1:10" s="177" customFormat="1" x14ac:dyDescent="0.25">
      <c r="D31" s="18" t="s">
        <v>96</v>
      </c>
      <c r="E31" s="219">
        <v>0</v>
      </c>
      <c r="F31" s="220">
        <v>0</v>
      </c>
      <c r="G31" s="220">
        <v>0</v>
      </c>
      <c r="H31" s="221">
        <v>0</v>
      </c>
      <c r="I31" s="221">
        <v>0</v>
      </c>
      <c r="J31" s="221">
        <v>0</v>
      </c>
    </row>
    <row r="32" spans="1:10" s="177" customFormat="1" x14ac:dyDescent="0.25">
      <c r="D32" s="8" t="s">
        <v>97</v>
      </c>
      <c r="E32" s="216">
        <v>0</v>
      </c>
      <c r="F32" s="217">
        <v>0</v>
      </c>
      <c r="G32" s="217">
        <v>0</v>
      </c>
      <c r="H32" s="218">
        <v>0</v>
      </c>
      <c r="I32" s="218">
        <v>0</v>
      </c>
      <c r="J32" s="218">
        <v>0</v>
      </c>
    </row>
  </sheetData>
  <mergeCells count="6">
    <mergeCell ref="D22:J22"/>
    <mergeCell ref="A2:K2"/>
    <mergeCell ref="A1:J1"/>
    <mergeCell ref="A4:C4"/>
    <mergeCell ref="A8:J8"/>
    <mergeCell ref="A6:J6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workbookViewId="0">
      <selection activeCell="I100" sqref="I10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7.85546875" customWidth="1"/>
    <col min="5" max="5" width="18" style="30" hidden="1" customWidth="1"/>
    <col min="6" max="6" width="18.28515625" hidden="1" customWidth="1"/>
    <col min="7" max="7" width="21.42578125" customWidth="1"/>
    <col min="8" max="8" width="20.85546875" customWidth="1"/>
    <col min="9" max="9" width="16" customWidth="1"/>
    <col min="10" max="10" width="19" customWidth="1"/>
  </cols>
  <sheetData>
    <row r="1" spans="1:11" ht="15.75" customHeight="1" x14ac:dyDescent="0.25">
      <c r="A1" s="269" t="s">
        <v>165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20.25" customHeight="1" x14ac:dyDescent="0.25">
      <c r="A2" s="270" t="s">
        <v>166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t="18" x14ac:dyDescent="0.25">
      <c r="A3" s="3"/>
      <c r="B3" s="3"/>
      <c r="C3" s="3"/>
      <c r="D3" s="3"/>
      <c r="E3" s="29"/>
      <c r="F3" s="3"/>
      <c r="G3" s="17"/>
      <c r="H3" s="4"/>
    </row>
    <row r="4" spans="1:11" ht="18" customHeight="1" x14ac:dyDescent="0.25">
      <c r="A4" s="262" t="s">
        <v>22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ht="18" x14ac:dyDescent="0.25">
      <c r="A5" s="3"/>
      <c r="B5" s="3"/>
      <c r="C5" s="3"/>
      <c r="D5" s="3"/>
      <c r="E5" s="29"/>
      <c r="F5" s="3"/>
      <c r="G5" s="17"/>
      <c r="H5" s="4"/>
    </row>
    <row r="6" spans="1:11" s="176" customFormat="1" ht="30" customHeight="1" x14ac:dyDescent="0.25">
      <c r="A6" s="297" t="s">
        <v>24</v>
      </c>
      <c r="B6" s="298"/>
      <c r="C6" s="299"/>
      <c r="D6" s="206" t="s">
        <v>25</v>
      </c>
      <c r="E6" s="205" t="s">
        <v>136</v>
      </c>
      <c r="F6" s="205" t="s">
        <v>137</v>
      </c>
      <c r="G6" s="205" t="s">
        <v>162</v>
      </c>
      <c r="H6" s="207" t="s">
        <v>161</v>
      </c>
      <c r="I6" s="205" t="s">
        <v>163</v>
      </c>
      <c r="J6" s="205" t="s">
        <v>164</v>
      </c>
    </row>
    <row r="7" spans="1:11" s="176" customFormat="1" ht="18.75" customHeight="1" x14ac:dyDescent="0.25">
      <c r="A7" s="300" t="s">
        <v>60</v>
      </c>
      <c r="B7" s="301"/>
      <c r="C7" s="302"/>
      <c r="D7" s="192" t="s">
        <v>61</v>
      </c>
      <c r="E7" s="108">
        <v>848917.07</v>
      </c>
      <c r="F7" s="109">
        <f>F8+F18+F44</f>
        <v>1026777.0499999999</v>
      </c>
      <c r="G7" s="109">
        <f>G8+G18+G44</f>
        <v>1259624.29</v>
      </c>
      <c r="H7" s="109">
        <f>H8+H18+H44</f>
        <v>10114.09</v>
      </c>
      <c r="I7" s="193">
        <f>H7/G7</f>
        <v>8.0294497972883648E-3</v>
      </c>
      <c r="J7" s="194">
        <f>H7+G7</f>
        <v>1269738.3800000001</v>
      </c>
    </row>
    <row r="8" spans="1:11" s="176" customFormat="1" ht="33" customHeight="1" x14ac:dyDescent="0.25">
      <c r="A8" s="285" t="s">
        <v>185</v>
      </c>
      <c r="B8" s="286"/>
      <c r="C8" s="287"/>
      <c r="D8" s="183" t="s">
        <v>70</v>
      </c>
      <c r="E8" s="106">
        <f>E9+E14</f>
        <v>27770.170000000002</v>
      </c>
      <c r="F8" s="107">
        <f>F10+F15</f>
        <v>36994.230000000003</v>
      </c>
      <c r="G8" s="107">
        <f t="shared" ref="G8:H8" si="0">G10+G15</f>
        <v>35416.81</v>
      </c>
      <c r="H8" s="107">
        <f t="shared" si="0"/>
        <v>2327.1799999999998</v>
      </c>
      <c r="I8" s="184">
        <f t="shared" ref="I8:I31" si="1">H8/G8</f>
        <v>6.5708345839165072E-2</v>
      </c>
      <c r="J8" s="185">
        <f t="shared" ref="J8:J31" si="2">H8+G8</f>
        <v>37743.99</v>
      </c>
    </row>
    <row r="9" spans="1:11" s="176" customFormat="1" ht="33" customHeight="1" x14ac:dyDescent="0.25">
      <c r="A9" s="294" t="s">
        <v>186</v>
      </c>
      <c r="B9" s="295"/>
      <c r="C9" s="296"/>
      <c r="D9" s="186" t="s">
        <v>62</v>
      </c>
      <c r="E9" s="110">
        <f>E10</f>
        <v>27770.170000000002</v>
      </c>
      <c r="F9" s="102">
        <f>F10</f>
        <v>36294.230000000003</v>
      </c>
      <c r="G9" s="102">
        <f t="shared" ref="G9:H9" si="3">G10</f>
        <v>34476.81</v>
      </c>
      <c r="H9" s="102">
        <f t="shared" si="3"/>
        <v>3267.18</v>
      </c>
      <c r="I9" s="187">
        <f t="shared" si="1"/>
        <v>9.4764567835597321E-2</v>
      </c>
      <c r="J9" s="188">
        <f t="shared" si="2"/>
        <v>37743.99</v>
      </c>
    </row>
    <row r="10" spans="1:11" s="176" customFormat="1" x14ac:dyDescent="0.25">
      <c r="A10" s="291" t="s">
        <v>71</v>
      </c>
      <c r="B10" s="292"/>
      <c r="C10" s="293"/>
      <c r="D10" s="225" t="s">
        <v>44</v>
      </c>
      <c r="E10" s="89">
        <f>E11</f>
        <v>27770.170000000002</v>
      </c>
      <c r="F10" s="32">
        <v>36294.230000000003</v>
      </c>
      <c r="G10" s="32">
        <f>G11</f>
        <v>34476.81</v>
      </c>
      <c r="H10" s="32">
        <f>H11</f>
        <v>3267.18</v>
      </c>
      <c r="I10" s="174">
        <f t="shared" si="1"/>
        <v>9.4764567835597321E-2</v>
      </c>
      <c r="J10" s="175">
        <f t="shared" si="2"/>
        <v>37743.99</v>
      </c>
    </row>
    <row r="11" spans="1:11" s="176" customFormat="1" x14ac:dyDescent="0.25">
      <c r="A11" s="276">
        <v>3</v>
      </c>
      <c r="B11" s="277"/>
      <c r="C11" s="278"/>
      <c r="D11" s="180" t="s">
        <v>15</v>
      </c>
      <c r="E11" s="89">
        <f>E12+E13</f>
        <v>27770.170000000002</v>
      </c>
      <c r="F11" s="32">
        <v>35464.230000000003</v>
      </c>
      <c r="G11" s="32">
        <f>G12+G13</f>
        <v>34476.81</v>
      </c>
      <c r="H11" s="32">
        <f>H12</f>
        <v>3267.18</v>
      </c>
      <c r="I11" s="174">
        <f t="shared" si="1"/>
        <v>9.4764567835597321E-2</v>
      </c>
      <c r="J11" s="175">
        <f t="shared" si="2"/>
        <v>37743.99</v>
      </c>
    </row>
    <row r="12" spans="1:11" s="176" customFormat="1" x14ac:dyDescent="0.25">
      <c r="A12" s="276">
        <v>32</v>
      </c>
      <c r="B12" s="277"/>
      <c r="C12" s="278"/>
      <c r="D12" s="180" t="s">
        <v>26</v>
      </c>
      <c r="E12" s="89">
        <v>27282.02</v>
      </c>
      <c r="F12" s="32">
        <f>830-F13</f>
        <v>464.54</v>
      </c>
      <c r="G12" s="32">
        <f>35416.81-G13-G17</f>
        <v>33631.81</v>
      </c>
      <c r="H12" s="32">
        <v>3267.18</v>
      </c>
      <c r="I12" s="174">
        <f t="shared" si="1"/>
        <v>9.7145529782667064E-2</v>
      </c>
      <c r="J12" s="175">
        <f t="shared" si="2"/>
        <v>36898.99</v>
      </c>
    </row>
    <row r="13" spans="1:11" s="176" customFormat="1" ht="15" customHeight="1" x14ac:dyDescent="0.25">
      <c r="A13" s="276">
        <v>34</v>
      </c>
      <c r="B13" s="277"/>
      <c r="C13" s="278"/>
      <c r="D13" s="180" t="s">
        <v>50</v>
      </c>
      <c r="E13" s="89">
        <v>488.15</v>
      </c>
      <c r="F13" s="32">
        <v>365.46</v>
      </c>
      <c r="G13" s="32">
        <f>845</f>
        <v>845</v>
      </c>
      <c r="H13" s="32">
        <v>0</v>
      </c>
      <c r="I13" s="174">
        <f t="shared" si="1"/>
        <v>0</v>
      </c>
      <c r="J13" s="175">
        <f t="shared" si="2"/>
        <v>845</v>
      </c>
    </row>
    <row r="14" spans="1:11" s="176" customFormat="1" ht="28.9" customHeight="1" x14ac:dyDescent="0.25">
      <c r="A14" s="294" t="s">
        <v>72</v>
      </c>
      <c r="B14" s="295"/>
      <c r="C14" s="296"/>
      <c r="D14" s="186" t="s">
        <v>73</v>
      </c>
      <c r="E14" s="110">
        <f t="shared" ref="E14:F14" si="4">E15</f>
        <v>0</v>
      </c>
      <c r="F14" s="102">
        <f t="shared" si="4"/>
        <v>700</v>
      </c>
      <c r="G14" s="102">
        <f t="shared" ref="G14" si="5">G15</f>
        <v>940</v>
      </c>
      <c r="H14" s="102">
        <f t="shared" ref="H14" si="6">H15</f>
        <v>-940</v>
      </c>
      <c r="I14" s="190">
        <f t="shared" si="1"/>
        <v>-1</v>
      </c>
      <c r="J14" s="191">
        <f t="shared" si="2"/>
        <v>0</v>
      </c>
    </row>
    <row r="15" spans="1:11" s="176" customFormat="1" ht="15" customHeight="1" x14ac:dyDescent="0.25">
      <c r="A15" s="291" t="s">
        <v>71</v>
      </c>
      <c r="B15" s="292"/>
      <c r="C15" s="293"/>
      <c r="D15" s="225" t="s">
        <v>44</v>
      </c>
      <c r="E15" s="88">
        <v>0</v>
      </c>
      <c r="F15" s="32">
        <v>700</v>
      </c>
      <c r="G15" s="32">
        <f>G16</f>
        <v>940</v>
      </c>
      <c r="H15" s="32">
        <f>H16</f>
        <v>-940</v>
      </c>
      <c r="I15" s="174">
        <f t="shared" si="1"/>
        <v>-1</v>
      </c>
      <c r="J15" s="175">
        <f t="shared" si="2"/>
        <v>0</v>
      </c>
    </row>
    <row r="16" spans="1:11" s="176" customFormat="1" x14ac:dyDescent="0.25">
      <c r="A16" s="276">
        <v>4</v>
      </c>
      <c r="B16" s="277"/>
      <c r="C16" s="278"/>
      <c r="D16" s="180" t="s">
        <v>17</v>
      </c>
      <c r="E16" s="89">
        <v>0</v>
      </c>
      <c r="F16" s="32">
        <v>700</v>
      </c>
      <c r="G16" s="32">
        <f>G17</f>
        <v>940</v>
      </c>
      <c r="H16" s="32">
        <f>H17</f>
        <v>-940</v>
      </c>
      <c r="I16" s="174">
        <f t="shared" si="1"/>
        <v>-1</v>
      </c>
      <c r="J16" s="175">
        <f t="shared" si="2"/>
        <v>0</v>
      </c>
    </row>
    <row r="17" spans="1:10" s="176" customFormat="1" ht="26.25" x14ac:dyDescent="0.25">
      <c r="A17" s="276">
        <v>42</v>
      </c>
      <c r="B17" s="277"/>
      <c r="C17" s="278"/>
      <c r="D17" s="180" t="s">
        <v>36</v>
      </c>
      <c r="E17" s="89">
        <v>0</v>
      </c>
      <c r="F17" s="32">
        <v>700</v>
      </c>
      <c r="G17" s="32">
        <v>940</v>
      </c>
      <c r="H17" s="32">
        <v>-940</v>
      </c>
      <c r="I17" s="174">
        <f t="shared" si="1"/>
        <v>-1</v>
      </c>
      <c r="J17" s="175">
        <f t="shared" si="2"/>
        <v>0</v>
      </c>
    </row>
    <row r="18" spans="1:10" s="176" customFormat="1" ht="48.75" customHeight="1" x14ac:dyDescent="0.25">
      <c r="A18" s="285" t="s">
        <v>154</v>
      </c>
      <c r="B18" s="286"/>
      <c r="C18" s="287"/>
      <c r="D18" s="183" t="s">
        <v>75</v>
      </c>
      <c r="E18" s="106" t="e">
        <f>E19+E28+E34+#REF!</f>
        <v>#REF!</v>
      </c>
      <c r="F18" s="107">
        <v>20356.97</v>
      </c>
      <c r="G18" s="107">
        <f>G19+G28+G34</f>
        <v>28872.48</v>
      </c>
      <c r="H18" s="107">
        <f>H19+H28+H34</f>
        <v>672.47</v>
      </c>
      <c r="I18" s="184">
        <f t="shared" si="1"/>
        <v>2.3291037001324445E-2</v>
      </c>
      <c r="J18" s="185">
        <f>H18+G18</f>
        <v>29544.95</v>
      </c>
    </row>
    <row r="19" spans="1:10" s="176" customFormat="1" ht="25.5" customHeight="1" x14ac:dyDescent="0.25">
      <c r="A19" s="294" t="s">
        <v>81</v>
      </c>
      <c r="B19" s="295"/>
      <c r="C19" s="296"/>
      <c r="D19" s="186" t="s">
        <v>132</v>
      </c>
      <c r="E19" s="110">
        <f>E20</f>
        <v>29791.06</v>
      </c>
      <c r="F19" s="102">
        <f>F20+F25</f>
        <v>7710.99</v>
      </c>
      <c r="G19" s="102">
        <f>G20+G25</f>
        <v>3102.5</v>
      </c>
      <c r="H19" s="102">
        <f>H20+H25</f>
        <v>0</v>
      </c>
      <c r="I19" s="187">
        <f t="shared" si="1"/>
        <v>0</v>
      </c>
      <c r="J19" s="188">
        <f t="shared" si="2"/>
        <v>3102.5</v>
      </c>
    </row>
    <row r="20" spans="1:10" s="176" customFormat="1" x14ac:dyDescent="0.25">
      <c r="A20" s="291" t="s">
        <v>76</v>
      </c>
      <c r="B20" s="292"/>
      <c r="C20" s="293"/>
      <c r="D20" s="225" t="s">
        <v>12</v>
      </c>
      <c r="E20" s="88">
        <f>E21</f>
        <v>29791.06</v>
      </c>
      <c r="F20" s="32">
        <f>F21</f>
        <v>7710.99</v>
      </c>
      <c r="G20" s="32">
        <f>G21+G25</f>
        <v>3102.5</v>
      </c>
      <c r="H20" s="32">
        <f>H21+H22+H24+H25</f>
        <v>0</v>
      </c>
      <c r="I20" s="174">
        <f t="shared" si="1"/>
        <v>0</v>
      </c>
      <c r="J20" s="175">
        <f t="shared" si="2"/>
        <v>3102.5</v>
      </c>
    </row>
    <row r="21" spans="1:10" s="176" customFormat="1" x14ac:dyDescent="0.25">
      <c r="A21" s="276">
        <v>3</v>
      </c>
      <c r="B21" s="277"/>
      <c r="C21" s="278"/>
      <c r="D21" s="180" t="s">
        <v>15</v>
      </c>
      <c r="E21" s="89">
        <f>E22+E23+E24</f>
        <v>29791.06</v>
      </c>
      <c r="F21" s="32">
        <f>F22+F24</f>
        <v>7710.99</v>
      </c>
      <c r="G21" s="32">
        <f>G22+G23+G24</f>
        <v>3102.5</v>
      </c>
      <c r="H21" s="32">
        <v>0</v>
      </c>
      <c r="I21" s="174">
        <f t="shared" si="1"/>
        <v>0</v>
      </c>
      <c r="J21" s="175">
        <f t="shared" si="2"/>
        <v>3102.5</v>
      </c>
    </row>
    <row r="22" spans="1:10" s="176" customFormat="1" ht="12.75" customHeight="1" x14ac:dyDescent="0.25">
      <c r="A22" s="276">
        <v>32</v>
      </c>
      <c r="B22" s="277"/>
      <c r="C22" s="278"/>
      <c r="D22" s="180" t="s">
        <v>26</v>
      </c>
      <c r="E22" s="89">
        <v>29791.06</v>
      </c>
      <c r="F22" s="32">
        <v>6311.99</v>
      </c>
      <c r="G22" s="32">
        <f>11462.5-G31</f>
        <v>1212.5</v>
      </c>
      <c r="H22" s="32">
        <v>0</v>
      </c>
      <c r="I22" s="174">
        <f t="shared" si="1"/>
        <v>0</v>
      </c>
      <c r="J22" s="175">
        <f t="shared" si="2"/>
        <v>1212.5</v>
      </c>
    </row>
    <row r="23" spans="1:10" s="176" customFormat="1" ht="14.25" customHeight="1" x14ac:dyDescent="0.25">
      <c r="A23" s="276">
        <v>34</v>
      </c>
      <c r="B23" s="277"/>
      <c r="C23" s="278"/>
      <c r="D23" s="180" t="s">
        <v>50</v>
      </c>
      <c r="E23" s="89">
        <v>0</v>
      </c>
      <c r="F23" s="32">
        <v>0</v>
      </c>
      <c r="G23" s="32">
        <v>0</v>
      </c>
      <c r="H23" s="32">
        <v>0</v>
      </c>
      <c r="I23" s="173">
        <v>0</v>
      </c>
      <c r="J23" s="175">
        <f t="shared" si="2"/>
        <v>0</v>
      </c>
    </row>
    <row r="24" spans="1:10" s="176" customFormat="1" ht="26.25" customHeight="1" x14ac:dyDescent="0.25">
      <c r="A24" s="276">
        <v>37</v>
      </c>
      <c r="B24" s="277"/>
      <c r="C24" s="278"/>
      <c r="D24" s="180" t="s">
        <v>88</v>
      </c>
      <c r="E24" s="89">
        <v>0</v>
      </c>
      <c r="F24" s="32">
        <v>1399</v>
      </c>
      <c r="G24" s="32">
        <f>1890</f>
        <v>1890</v>
      </c>
      <c r="H24" s="32">
        <v>0</v>
      </c>
      <c r="I24" s="174">
        <f t="shared" si="1"/>
        <v>0</v>
      </c>
      <c r="J24" s="175">
        <f t="shared" si="2"/>
        <v>1890</v>
      </c>
    </row>
    <row r="25" spans="1:10" s="176" customFormat="1" ht="17.25" customHeight="1" x14ac:dyDescent="0.25">
      <c r="A25" s="276">
        <v>4</v>
      </c>
      <c r="B25" s="277"/>
      <c r="C25" s="278"/>
      <c r="D25" s="180" t="s">
        <v>134</v>
      </c>
      <c r="E25" s="89">
        <v>0</v>
      </c>
      <c r="F25" s="32">
        <v>0</v>
      </c>
      <c r="G25" s="32">
        <v>0</v>
      </c>
      <c r="H25" s="32">
        <v>0</v>
      </c>
      <c r="I25" s="174">
        <v>0</v>
      </c>
      <c r="J25" s="175">
        <f t="shared" si="2"/>
        <v>0</v>
      </c>
    </row>
    <row r="26" spans="1:10" s="176" customFormat="1" ht="24.75" customHeight="1" x14ac:dyDescent="0.25">
      <c r="A26" s="276">
        <v>42</v>
      </c>
      <c r="B26" s="277"/>
      <c r="C26" s="278"/>
      <c r="D26" s="180" t="s">
        <v>36</v>
      </c>
      <c r="E26" s="89">
        <v>0</v>
      </c>
      <c r="F26" s="32">
        <v>0</v>
      </c>
      <c r="G26" s="32">
        <v>0</v>
      </c>
      <c r="H26" s="32">
        <v>0</v>
      </c>
      <c r="I26" s="174">
        <v>0</v>
      </c>
      <c r="J26" s="175">
        <f t="shared" si="2"/>
        <v>0</v>
      </c>
    </row>
    <row r="27" spans="1:10" s="176" customFormat="1" ht="15.75" customHeight="1" x14ac:dyDescent="0.25">
      <c r="A27" s="276">
        <v>45</v>
      </c>
      <c r="B27" s="277"/>
      <c r="C27" s="278"/>
      <c r="D27" s="180" t="s">
        <v>135</v>
      </c>
      <c r="E27" s="89">
        <v>0</v>
      </c>
      <c r="F27" s="32">
        <v>0</v>
      </c>
      <c r="G27" s="32">
        <v>0</v>
      </c>
      <c r="H27" s="32">
        <v>0</v>
      </c>
      <c r="I27" s="173">
        <v>0</v>
      </c>
      <c r="J27" s="175">
        <f t="shared" si="2"/>
        <v>0</v>
      </c>
    </row>
    <row r="28" spans="1:10" s="176" customFormat="1" ht="24.75" customHeight="1" x14ac:dyDescent="0.25">
      <c r="A28" s="294" t="s">
        <v>178</v>
      </c>
      <c r="B28" s="295"/>
      <c r="C28" s="296"/>
      <c r="D28" s="186" t="s">
        <v>179</v>
      </c>
      <c r="E28" s="110">
        <f t="shared" ref="E28:F28" si="7">E29</f>
        <v>1154.1600000000001</v>
      </c>
      <c r="F28" s="102">
        <f t="shared" si="7"/>
        <v>750</v>
      </c>
      <c r="G28" s="102">
        <f>G29</f>
        <v>13750</v>
      </c>
      <c r="H28" s="102">
        <f t="shared" ref="H28" si="8">H29</f>
        <v>0</v>
      </c>
      <c r="I28" s="187">
        <f t="shared" si="1"/>
        <v>0</v>
      </c>
      <c r="J28" s="188">
        <f t="shared" si="2"/>
        <v>13750</v>
      </c>
    </row>
    <row r="29" spans="1:10" s="176" customFormat="1" x14ac:dyDescent="0.25">
      <c r="A29" s="291" t="s">
        <v>76</v>
      </c>
      <c r="B29" s="292"/>
      <c r="C29" s="293"/>
      <c r="D29" s="225" t="s">
        <v>12</v>
      </c>
      <c r="E29" s="89">
        <f>E30</f>
        <v>1154.1600000000001</v>
      </c>
      <c r="F29" s="32">
        <f>F30</f>
        <v>750</v>
      </c>
      <c r="G29" s="32">
        <f>G30+G32</f>
        <v>13750</v>
      </c>
      <c r="H29" s="32">
        <v>0</v>
      </c>
      <c r="I29" s="174">
        <f t="shared" si="1"/>
        <v>0</v>
      </c>
      <c r="J29" s="175">
        <f t="shared" si="2"/>
        <v>13750</v>
      </c>
    </row>
    <row r="30" spans="1:10" s="176" customFormat="1" x14ac:dyDescent="0.25">
      <c r="A30" s="276">
        <v>3</v>
      </c>
      <c r="B30" s="277"/>
      <c r="C30" s="278"/>
      <c r="D30" s="180" t="s">
        <v>15</v>
      </c>
      <c r="E30" s="89">
        <f>E31</f>
        <v>1154.1600000000001</v>
      </c>
      <c r="F30" s="32">
        <f>F31</f>
        <v>750</v>
      </c>
      <c r="G30" s="32">
        <f>G31</f>
        <v>10250</v>
      </c>
      <c r="H30" s="32">
        <v>0</v>
      </c>
      <c r="I30" s="174">
        <f t="shared" si="1"/>
        <v>0</v>
      </c>
      <c r="J30" s="175">
        <f t="shared" si="2"/>
        <v>10250</v>
      </c>
    </row>
    <row r="31" spans="1:10" s="176" customFormat="1" ht="16.5" customHeight="1" x14ac:dyDescent="0.25">
      <c r="A31" s="276">
        <v>32</v>
      </c>
      <c r="B31" s="277"/>
      <c r="C31" s="278"/>
      <c r="D31" s="180" t="s">
        <v>26</v>
      </c>
      <c r="E31" s="89">
        <v>1154.1600000000001</v>
      </c>
      <c r="F31" s="32">
        <v>750</v>
      </c>
      <c r="G31" s="32">
        <v>10250</v>
      </c>
      <c r="H31" s="32">
        <v>0</v>
      </c>
      <c r="I31" s="174">
        <f t="shared" si="1"/>
        <v>0</v>
      </c>
      <c r="J31" s="175">
        <f t="shared" si="2"/>
        <v>10250</v>
      </c>
    </row>
    <row r="32" spans="1:10" s="176" customFormat="1" ht="20.25" customHeight="1" x14ac:dyDescent="0.25">
      <c r="A32" s="276">
        <v>4</v>
      </c>
      <c r="B32" s="277"/>
      <c r="C32" s="278"/>
      <c r="D32" s="180" t="s">
        <v>134</v>
      </c>
      <c r="E32" s="89">
        <v>0</v>
      </c>
      <c r="F32" s="32">
        <v>0</v>
      </c>
      <c r="G32" s="32">
        <v>3500</v>
      </c>
      <c r="H32" s="32">
        <v>0</v>
      </c>
      <c r="I32" s="174">
        <f t="shared" ref="I32:I33" si="9">H32/G32</f>
        <v>0</v>
      </c>
      <c r="J32" s="175">
        <f t="shared" ref="J32:J33" si="10">H32+G32</f>
        <v>3500</v>
      </c>
    </row>
    <row r="33" spans="1:10" s="176" customFormat="1" ht="30.75" customHeight="1" x14ac:dyDescent="0.25">
      <c r="A33" s="276">
        <v>42</v>
      </c>
      <c r="B33" s="277"/>
      <c r="C33" s="278"/>
      <c r="D33" s="180" t="s">
        <v>36</v>
      </c>
      <c r="E33" s="89">
        <v>0</v>
      </c>
      <c r="F33" s="32">
        <v>0</v>
      </c>
      <c r="G33" s="32">
        <v>3500</v>
      </c>
      <c r="H33" s="32">
        <v>0</v>
      </c>
      <c r="I33" s="174">
        <f t="shared" si="9"/>
        <v>0</v>
      </c>
      <c r="J33" s="175">
        <f t="shared" si="10"/>
        <v>3500</v>
      </c>
    </row>
    <row r="34" spans="1:10" s="176" customFormat="1" x14ac:dyDescent="0.25">
      <c r="A34" s="294" t="s">
        <v>180</v>
      </c>
      <c r="B34" s="295"/>
      <c r="C34" s="296"/>
      <c r="D34" s="186" t="s">
        <v>77</v>
      </c>
      <c r="E34" s="110">
        <f>E35</f>
        <v>5903.07</v>
      </c>
      <c r="F34" s="102">
        <f>F35</f>
        <v>11202.39</v>
      </c>
      <c r="G34" s="102">
        <f t="shared" ref="G34:H34" si="11">G35</f>
        <v>12019.98</v>
      </c>
      <c r="H34" s="102">
        <f t="shared" si="11"/>
        <v>672.47</v>
      </c>
      <c r="I34" s="187">
        <f t="shared" ref="I34:I50" si="12">H34/G34</f>
        <v>5.5946016549112396E-2</v>
      </c>
      <c r="J34" s="188">
        <f>H34+G34</f>
        <v>12692.449999999999</v>
      </c>
    </row>
    <row r="35" spans="1:10" s="176" customFormat="1" x14ac:dyDescent="0.25">
      <c r="A35" s="291" t="s">
        <v>76</v>
      </c>
      <c r="B35" s="292"/>
      <c r="C35" s="293"/>
      <c r="D35" s="225" t="s">
        <v>12</v>
      </c>
      <c r="E35" s="88">
        <f>E36</f>
        <v>5903.07</v>
      </c>
      <c r="F35" s="32">
        <v>11202.39</v>
      </c>
      <c r="G35" s="32">
        <f>G36</f>
        <v>12019.98</v>
      </c>
      <c r="H35" s="32">
        <f>H36</f>
        <v>672.47</v>
      </c>
      <c r="I35" s="174">
        <f t="shared" si="12"/>
        <v>5.5946016549112396E-2</v>
      </c>
      <c r="J35" s="175">
        <f>H35+G35</f>
        <v>12692.449999999999</v>
      </c>
    </row>
    <row r="36" spans="1:10" s="176" customFormat="1" x14ac:dyDescent="0.25">
      <c r="A36" s="276">
        <v>3</v>
      </c>
      <c r="B36" s="277"/>
      <c r="C36" s="278"/>
      <c r="D36" s="180" t="s">
        <v>15</v>
      </c>
      <c r="E36" s="89">
        <f>E37+E38</f>
        <v>5903.07</v>
      </c>
      <c r="F36" s="32">
        <v>693.59</v>
      </c>
      <c r="G36" s="32">
        <f>G37+G38</f>
        <v>12019.98</v>
      </c>
      <c r="H36" s="32">
        <f>H37+H38</f>
        <v>672.47</v>
      </c>
      <c r="I36" s="174">
        <f t="shared" si="12"/>
        <v>5.5946016549112396E-2</v>
      </c>
      <c r="J36" s="175">
        <f>J37+J38</f>
        <v>12692.449999999999</v>
      </c>
    </row>
    <row r="37" spans="1:10" s="176" customFormat="1" x14ac:dyDescent="0.25">
      <c r="A37" s="276">
        <v>31</v>
      </c>
      <c r="B37" s="277"/>
      <c r="C37" s="278"/>
      <c r="D37" s="180" t="s">
        <v>78</v>
      </c>
      <c r="E37" s="89">
        <v>5571.29</v>
      </c>
      <c r="F37" s="32">
        <v>0</v>
      </c>
      <c r="G37" s="32">
        <f>1206.71+8548.18+1508.5</f>
        <v>11263.39</v>
      </c>
      <c r="H37" s="32">
        <v>665.51</v>
      </c>
      <c r="I37" s="174">
        <f t="shared" si="12"/>
        <v>5.9086118832784806E-2</v>
      </c>
      <c r="J37" s="175">
        <f t="shared" ref="J37:J83" si="13">H37+G37</f>
        <v>11928.9</v>
      </c>
    </row>
    <row r="38" spans="1:10" s="176" customFormat="1" x14ac:dyDescent="0.25">
      <c r="A38" s="276">
        <v>32</v>
      </c>
      <c r="B38" s="277"/>
      <c r="C38" s="278"/>
      <c r="D38" s="180" t="s">
        <v>26</v>
      </c>
      <c r="E38" s="89">
        <v>331.78</v>
      </c>
      <c r="F38" s="32">
        <v>0</v>
      </c>
      <c r="G38" s="32">
        <f>574.2+81.06+101.33</f>
        <v>756.59</v>
      </c>
      <c r="H38" s="32">
        <v>6.96</v>
      </c>
      <c r="I38" s="174">
        <f t="shared" si="12"/>
        <v>9.1991699599518889E-3</v>
      </c>
      <c r="J38" s="175">
        <f t="shared" si="13"/>
        <v>763.55000000000007</v>
      </c>
    </row>
    <row r="39" spans="1:10" s="176" customFormat="1" hidden="1" x14ac:dyDescent="0.25">
      <c r="A39" s="288" t="s">
        <v>79</v>
      </c>
      <c r="B39" s="289"/>
      <c r="C39" s="290"/>
      <c r="D39" s="226" t="s">
        <v>80</v>
      </c>
      <c r="E39" s="87">
        <v>0</v>
      </c>
      <c r="F39" s="46">
        <f>F40</f>
        <v>0</v>
      </c>
      <c r="G39" s="46">
        <f t="shared" ref="G39:H40" si="14">G40</f>
        <v>0</v>
      </c>
      <c r="H39" s="46">
        <f t="shared" si="14"/>
        <v>0</v>
      </c>
      <c r="I39" s="174" t="e">
        <f t="shared" si="12"/>
        <v>#DIV/0!</v>
      </c>
      <c r="J39" s="175">
        <f t="shared" si="13"/>
        <v>0</v>
      </c>
    </row>
    <row r="40" spans="1:10" s="176" customFormat="1" ht="23.25" hidden="1" customHeight="1" x14ac:dyDescent="0.25">
      <c r="A40" s="291" t="s">
        <v>76</v>
      </c>
      <c r="B40" s="292"/>
      <c r="C40" s="293"/>
      <c r="D40" s="225" t="s">
        <v>12</v>
      </c>
      <c r="E40" s="89">
        <v>0</v>
      </c>
      <c r="F40" s="32">
        <f>F41</f>
        <v>0</v>
      </c>
      <c r="G40" s="32">
        <f t="shared" si="14"/>
        <v>0</v>
      </c>
      <c r="H40" s="32">
        <f t="shared" si="14"/>
        <v>0</v>
      </c>
      <c r="I40" s="174" t="e">
        <f t="shared" si="12"/>
        <v>#DIV/0!</v>
      </c>
      <c r="J40" s="175">
        <f t="shared" si="13"/>
        <v>0</v>
      </c>
    </row>
    <row r="41" spans="1:10" s="176" customFormat="1" hidden="1" x14ac:dyDescent="0.25">
      <c r="A41" s="276">
        <v>3</v>
      </c>
      <c r="B41" s="277"/>
      <c r="C41" s="278"/>
      <c r="D41" s="180" t="s">
        <v>15</v>
      </c>
      <c r="E41" s="89">
        <v>0</v>
      </c>
      <c r="F41" s="32">
        <f>F43</f>
        <v>0</v>
      </c>
      <c r="G41" s="32">
        <f t="shared" ref="G41:H41" si="15">G43</f>
        <v>0</v>
      </c>
      <c r="H41" s="32">
        <f t="shared" si="15"/>
        <v>0</v>
      </c>
      <c r="I41" s="174" t="e">
        <f t="shared" si="12"/>
        <v>#DIV/0!</v>
      </c>
      <c r="J41" s="175">
        <f t="shared" si="13"/>
        <v>0</v>
      </c>
    </row>
    <row r="42" spans="1:10" s="176" customFormat="1" hidden="1" x14ac:dyDescent="0.25">
      <c r="A42" s="276">
        <v>32</v>
      </c>
      <c r="B42" s="277"/>
      <c r="C42" s="278"/>
      <c r="D42" s="180" t="s">
        <v>26</v>
      </c>
      <c r="E42" s="89">
        <v>0</v>
      </c>
      <c r="F42" s="32">
        <v>0</v>
      </c>
      <c r="G42" s="32">
        <v>0</v>
      </c>
      <c r="H42" s="32">
        <v>0</v>
      </c>
      <c r="I42" s="174" t="e">
        <f t="shared" si="12"/>
        <v>#DIV/0!</v>
      </c>
      <c r="J42" s="175">
        <f t="shared" si="13"/>
        <v>0</v>
      </c>
    </row>
    <row r="43" spans="1:10" s="176" customFormat="1" hidden="1" x14ac:dyDescent="0.25">
      <c r="A43" s="276">
        <v>32</v>
      </c>
      <c r="B43" s="277"/>
      <c r="C43" s="278"/>
      <c r="D43" s="180" t="s">
        <v>26</v>
      </c>
      <c r="E43" s="89">
        <v>0</v>
      </c>
      <c r="F43" s="32">
        <v>0</v>
      </c>
      <c r="G43" s="32">
        <v>0</v>
      </c>
      <c r="H43" s="32">
        <v>0</v>
      </c>
      <c r="I43" s="174" t="e">
        <f t="shared" si="12"/>
        <v>#DIV/0!</v>
      </c>
      <c r="J43" s="175">
        <f t="shared" si="13"/>
        <v>0</v>
      </c>
    </row>
    <row r="44" spans="1:10" s="176" customFormat="1" ht="45" x14ac:dyDescent="0.25">
      <c r="A44" s="285" t="s">
        <v>74</v>
      </c>
      <c r="B44" s="286"/>
      <c r="C44" s="287"/>
      <c r="D44" s="183" t="s">
        <v>133</v>
      </c>
      <c r="E44" s="106">
        <f>E45</f>
        <v>787052.69000000006</v>
      </c>
      <c r="F44" s="107">
        <f>F45</f>
        <v>969425.85</v>
      </c>
      <c r="G44" s="107">
        <f>G45</f>
        <v>1195335</v>
      </c>
      <c r="H44" s="107">
        <f t="shared" ref="H44" si="16">H45</f>
        <v>7114.4400000000005</v>
      </c>
      <c r="I44" s="184">
        <f t="shared" si="12"/>
        <v>5.951837769328264E-3</v>
      </c>
      <c r="J44" s="185">
        <f t="shared" si="13"/>
        <v>1202449.44</v>
      </c>
    </row>
    <row r="45" spans="1:10" s="176" customFormat="1" x14ac:dyDescent="0.25">
      <c r="A45" s="282" t="s">
        <v>175</v>
      </c>
      <c r="B45" s="283"/>
      <c r="C45" s="284"/>
      <c r="D45" s="227" t="s">
        <v>82</v>
      </c>
      <c r="E45" s="111">
        <f>E79+E48+E54+E59+E73</f>
        <v>787052.69000000006</v>
      </c>
      <c r="F45" s="112">
        <f>F79+F48+F54+F59+F68+F73</f>
        <v>969425.85</v>
      </c>
      <c r="G45" s="112">
        <f>G79+G48+G54+G59+G68+G73+G86</f>
        <v>1195335</v>
      </c>
      <c r="H45" s="112">
        <f>H79+H48+H54+H59+H68+H73+H86</f>
        <v>7114.4400000000005</v>
      </c>
      <c r="I45" s="187">
        <f t="shared" si="12"/>
        <v>5.951837769328264E-3</v>
      </c>
      <c r="J45" s="188">
        <f t="shared" si="13"/>
        <v>1202449.44</v>
      </c>
    </row>
    <row r="46" spans="1:10" s="176" customFormat="1" hidden="1" x14ac:dyDescent="0.25">
      <c r="A46" s="276">
        <v>4</v>
      </c>
      <c r="B46" s="277"/>
      <c r="C46" s="278"/>
      <c r="D46" s="180" t="s">
        <v>83</v>
      </c>
      <c r="E46" s="89"/>
      <c r="F46" s="32">
        <f>F47</f>
        <v>0</v>
      </c>
      <c r="G46" s="32">
        <f t="shared" ref="G46:H46" si="17">G47</f>
        <v>0</v>
      </c>
      <c r="H46" s="32">
        <f t="shared" si="17"/>
        <v>0</v>
      </c>
      <c r="I46" s="174" t="e">
        <f t="shared" si="12"/>
        <v>#DIV/0!</v>
      </c>
      <c r="J46" s="175">
        <f t="shared" si="13"/>
        <v>0</v>
      </c>
    </row>
    <row r="47" spans="1:10" s="176" customFormat="1" ht="26.25" hidden="1" x14ac:dyDescent="0.25">
      <c r="A47" s="276">
        <v>42</v>
      </c>
      <c r="B47" s="277"/>
      <c r="C47" s="278"/>
      <c r="D47" s="180" t="s">
        <v>36</v>
      </c>
      <c r="E47" s="89"/>
      <c r="F47" s="32"/>
      <c r="G47" s="32"/>
      <c r="H47" s="32"/>
      <c r="I47" s="174" t="e">
        <f t="shared" si="12"/>
        <v>#DIV/0!</v>
      </c>
      <c r="J47" s="175">
        <f t="shared" si="13"/>
        <v>0</v>
      </c>
    </row>
    <row r="48" spans="1:10" s="176" customFormat="1" x14ac:dyDescent="0.25">
      <c r="A48" s="279" t="s">
        <v>84</v>
      </c>
      <c r="B48" s="280"/>
      <c r="C48" s="281"/>
      <c r="D48" s="228" t="s">
        <v>30</v>
      </c>
      <c r="E48" s="90">
        <f>E49+E52</f>
        <v>528.99</v>
      </c>
      <c r="F48" s="46">
        <f>F49+F52</f>
        <v>284.56</v>
      </c>
      <c r="G48" s="46">
        <f t="shared" ref="G48:H48" si="18">G49+G52</f>
        <v>130</v>
      </c>
      <c r="H48" s="46">
        <f t="shared" si="18"/>
        <v>-46</v>
      </c>
      <c r="I48" s="174">
        <f t="shared" si="12"/>
        <v>-0.35384615384615387</v>
      </c>
      <c r="J48" s="175">
        <f t="shared" si="13"/>
        <v>84</v>
      </c>
    </row>
    <row r="49" spans="1:10" s="176" customFormat="1" ht="15.75" customHeight="1" x14ac:dyDescent="0.25">
      <c r="A49" s="276">
        <v>3</v>
      </c>
      <c r="B49" s="277"/>
      <c r="C49" s="278"/>
      <c r="D49" s="180" t="s">
        <v>15</v>
      </c>
      <c r="E49" s="89">
        <f>E50</f>
        <v>528.99</v>
      </c>
      <c r="F49" s="32">
        <f>F50</f>
        <v>284.56</v>
      </c>
      <c r="G49" s="32">
        <f>G50</f>
        <v>130</v>
      </c>
      <c r="H49" s="32">
        <f>H50</f>
        <v>-46</v>
      </c>
      <c r="I49" s="174">
        <f t="shared" si="12"/>
        <v>-0.35384615384615387</v>
      </c>
      <c r="J49" s="175">
        <f t="shared" si="13"/>
        <v>84</v>
      </c>
    </row>
    <row r="50" spans="1:10" s="176" customFormat="1" x14ac:dyDescent="0.25">
      <c r="A50" s="276">
        <v>32</v>
      </c>
      <c r="B50" s="277"/>
      <c r="C50" s="278"/>
      <c r="D50" s="180" t="s">
        <v>26</v>
      </c>
      <c r="E50" s="89">
        <v>528.99</v>
      </c>
      <c r="F50" s="32">
        <v>284.56</v>
      </c>
      <c r="G50" s="32">
        <v>130</v>
      </c>
      <c r="H50" s="32">
        <v>-46</v>
      </c>
      <c r="I50" s="174">
        <f t="shared" si="12"/>
        <v>-0.35384615384615387</v>
      </c>
      <c r="J50" s="175">
        <f t="shared" si="13"/>
        <v>84</v>
      </c>
    </row>
    <row r="51" spans="1:10" s="176" customFormat="1" x14ac:dyDescent="0.25">
      <c r="A51" s="276">
        <v>34</v>
      </c>
      <c r="B51" s="277"/>
      <c r="C51" s="278"/>
      <c r="D51" s="180" t="s">
        <v>124</v>
      </c>
      <c r="E51" s="89">
        <v>0</v>
      </c>
      <c r="F51" s="32">
        <v>0</v>
      </c>
      <c r="G51" s="32">
        <v>0</v>
      </c>
      <c r="H51" s="32">
        <v>0</v>
      </c>
      <c r="I51" s="174">
        <v>0</v>
      </c>
      <c r="J51" s="175">
        <f t="shared" si="13"/>
        <v>0</v>
      </c>
    </row>
    <row r="52" spans="1:10" s="176" customFormat="1" x14ac:dyDescent="0.25">
      <c r="A52" s="276">
        <v>4</v>
      </c>
      <c r="B52" s="277"/>
      <c r="C52" s="278"/>
      <c r="D52" s="180" t="s">
        <v>83</v>
      </c>
      <c r="E52" s="89">
        <v>0</v>
      </c>
      <c r="F52" s="32">
        <v>0</v>
      </c>
      <c r="G52" s="32">
        <v>0</v>
      </c>
      <c r="H52" s="32">
        <v>0</v>
      </c>
      <c r="I52" s="174">
        <v>0</v>
      </c>
      <c r="J52" s="175">
        <f t="shared" si="13"/>
        <v>0</v>
      </c>
    </row>
    <row r="53" spans="1:10" s="176" customFormat="1" ht="26.25" x14ac:dyDescent="0.25">
      <c r="A53" s="276">
        <v>42</v>
      </c>
      <c r="B53" s="277"/>
      <c r="C53" s="278"/>
      <c r="D53" s="180" t="s">
        <v>36</v>
      </c>
      <c r="E53" s="89">
        <v>0</v>
      </c>
      <c r="F53" s="32">
        <v>0</v>
      </c>
      <c r="G53" s="32">
        <v>0</v>
      </c>
      <c r="H53" s="32">
        <v>0</v>
      </c>
      <c r="I53" s="174">
        <v>0</v>
      </c>
      <c r="J53" s="175">
        <f t="shared" si="13"/>
        <v>0</v>
      </c>
    </row>
    <row r="54" spans="1:10" s="176" customFormat="1" x14ac:dyDescent="0.25">
      <c r="A54" s="279" t="s">
        <v>85</v>
      </c>
      <c r="B54" s="280"/>
      <c r="C54" s="281"/>
      <c r="D54" s="228" t="s">
        <v>48</v>
      </c>
      <c r="E54" s="90">
        <f>E55+E57</f>
        <v>13518.56</v>
      </c>
      <c r="F54" s="46">
        <f>F55+F57</f>
        <v>18183.7</v>
      </c>
      <c r="G54" s="46">
        <f t="shared" ref="G54:H54" si="19">G55+G57</f>
        <v>11400</v>
      </c>
      <c r="H54" s="46">
        <f t="shared" si="19"/>
        <v>3675.45</v>
      </c>
      <c r="I54" s="229">
        <f t="shared" ref="I54:I74" si="20">H54/G54</f>
        <v>0.32240789473684212</v>
      </c>
      <c r="J54" s="230">
        <f t="shared" si="13"/>
        <v>15075.45</v>
      </c>
    </row>
    <row r="55" spans="1:10" s="176" customFormat="1" x14ac:dyDescent="0.25">
      <c r="A55" s="276">
        <v>3</v>
      </c>
      <c r="B55" s="277"/>
      <c r="C55" s="278"/>
      <c r="D55" s="180" t="s">
        <v>15</v>
      </c>
      <c r="E55" s="89">
        <f>E56</f>
        <v>12370.56</v>
      </c>
      <c r="F55" s="32">
        <f>F56</f>
        <v>15283.7</v>
      </c>
      <c r="G55" s="32">
        <f>G56</f>
        <v>10100</v>
      </c>
      <c r="H55" s="32">
        <f>H56</f>
        <v>3150</v>
      </c>
      <c r="I55" s="174">
        <f t="shared" si="20"/>
        <v>0.31188118811881188</v>
      </c>
      <c r="J55" s="175">
        <f t="shared" si="13"/>
        <v>13250</v>
      </c>
    </row>
    <row r="56" spans="1:10" s="176" customFormat="1" x14ac:dyDescent="0.25">
      <c r="A56" s="276">
        <v>32</v>
      </c>
      <c r="B56" s="277"/>
      <c r="C56" s="278"/>
      <c r="D56" s="180" t="s">
        <v>26</v>
      </c>
      <c r="E56" s="89">
        <v>12370.56</v>
      </c>
      <c r="F56" s="32">
        <v>15283.7</v>
      </c>
      <c r="G56" s="32">
        <v>10100</v>
      </c>
      <c r="H56" s="32">
        <v>3150</v>
      </c>
      <c r="I56" s="174">
        <f t="shared" si="20"/>
        <v>0.31188118811881188</v>
      </c>
      <c r="J56" s="175">
        <f t="shared" si="13"/>
        <v>13250</v>
      </c>
    </row>
    <row r="57" spans="1:10" s="176" customFormat="1" x14ac:dyDescent="0.25">
      <c r="A57" s="276">
        <v>4</v>
      </c>
      <c r="B57" s="277"/>
      <c r="C57" s="278"/>
      <c r="D57" s="180" t="s">
        <v>83</v>
      </c>
      <c r="E57" s="89">
        <f>E58</f>
        <v>1148</v>
      </c>
      <c r="F57" s="32">
        <f>F58</f>
        <v>2900</v>
      </c>
      <c r="G57" s="32">
        <f>G58</f>
        <v>1300</v>
      </c>
      <c r="H57" s="32">
        <f>H58</f>
        <v>525.45000000000005</v>
      </c>
      <c r="I57" s="174">
        <f t="shared" si="20"/>
        <v>0.40419230769230774</v>
      </c>
      <c r="J57" s="175">
        <f t="shared" si="13"/>
        <v>1825.45</v>
      </c>
    </row>
    <row r="58" spans="1:10" s="176" customFormat="1" ht="26.25" x14ac:dyDescent="0.25">
      <c r="A58" s="276">
        <v>42</v>
      </c>
      <c r="B58" s="277"/>
      <c r="C58" s="278"/>
      <c r="D58" s="180" t="s">
        <v>36</v>
      </c>
      <c r="E58" s="89">
        <v>1148</v>
      </c>
      <c r="F58" s="32">
        <v>2900</v>
      </c>
      <c r="G58" s="32">
        <v>1300</v>
      </c>
      <c r="H58" s="32">
        <v>525.45000000000005</v>
      </c>
      <c r="I58" s="174">
        <f t="shared" si="20"/>
        <v>0.40419230769230774</v>
      </c>
      <c r="J58" s="175">
        <f t="shared" si="13"/>
        <v>1825.45</v>
      </c>
    </row>
    <row r="59" spans="1:10" s="176" customFormat="1" x14ac:dyDescent="0.25">
      <c r="A59" s="279" t="s">
        <v>86</v>
      </c>
      <c r="B59" s="280"/>
      <c r="C59" s="281"/>
      <c r="D59" s="228" t="s">
        <v>87</v>
      </c>
      <c r="E59" s="90">
        <f>E60+E66</f>
        <v>768149.70000000007</v>
      </c>
      <c r="F59" s="46">
        <f>F60+F66</f>
        <v>948800.08</v>
      </c>
      <c r="G59" s="46">
        <f>G60+G66</f>
        <v>1061330</v>
      </c>
      <c r="H59" s="46">
        <f t="shared" ref="H59" si="21">H60+H66</f>
        <v>1208.33</v>
      </c>
      <c r="I59" s="229">
        <f t="shared" si="20"/>
        <v>1.1385054601302138E-3</v>
      </c>
      <c r="J59" s="230">
        <f t="shared" si="13"/>
        <v>1062538.33</v>
      </c>
    </row>
    <row r="60" spans="1:10" s="176" customFormat="1" x14ac:dyDescent="0.25">
      <c r="A60" s="276">
        <v>3</v>
      </c>
      <c r="B60" s="277"/>
      <c r="C60" s="278"/>
      <c r="D60" s="180" t="s">
        <v>15</v>
      </c>
      <c r="E60" s="89">
        <f>E61+E62+E63+E64+E65</f>
        <v>766952.89</v>
      </c>
      <c r="F60" s="32">
        <f>F61+F62+F63+F64+F65</f>
        <v>945800.08</v>
      </c>
      <c r="G60" s="32">
        <f>G61+G62+G63+G64+G65</f>
        <v>1059330</v>
      </c>
      <c r="H60" s="32">
        <f>H61+H62</f>
        <v>1208.33</v>
      </c>
      <c r="I60" s="174">
        <f t="shared" si="20"/>
        <v>1.140654942274834E-3</v>
      </c>
      <c r="J60" s="175">
        <f t="shared" si="13"/>
        <v>1060538.33</v>
      </c>
    </row>
    <row r="61" spans="1:10" s="176" customFormat="1" x14ac:dyDescent="0.25">
      <c r="A61" s="276">
        <v>31</v>
      </c>
      <c r="B61" s="277"/>
      <c r="C61" s="278"/>
      <c r="D61" s="180" t="s">
        <v>78</v>
      </c>
      <c r="E61" s="89">
        <v>686633.22</v>
      </c>
      <c r="F61" s="32">
        <v>865538.08</v>
      </c>
      <c r="G61" s="32">
        <f>793000+9000+9500+6600+11600+1800+10500+440+121500</f>
        <v>963940</v>
      </c>
      <c r="H61" s="32">
        <v>0</v>
      </c>
      <c r="I61" s="174">
        <f t="shared" si="20"/>
        <v>0</v>
      </c>
      <c r="J61" s="175">
        <f t="shared" si="13"/>
        <v>963940</v>
      </c>
    </row>
    <row r="62" spans="1:10" s="176" customFormat="1" x14ac:dyDescent="0.25">
      <c r="A62" s="276">
        <v>32</v>
      </c>
      <c r="B62" s="277"/>
      <c r="C62" s="278"/>
      <c r="D62" s="180" t="s">
        <v>26</v>
      </c>
      <c r="E62" s="89">
        <v>71480.81</v>
      </c>
      <c r="F62" s="32">
        <v>71340</v>
      </c>
      <c r="G62" s="32">
        <f>39800+100+270+40500+2190</f>
        <v>82860</v>
      </c>
      <c r="H62" s="32">
        <v>1208.33</v>
      </c>
      <c r="I62" s="174">
        <f t="shared" si="20"/>
        <v>1.4582790248612115E-2</v>
      </c>
      <c r="J62" s="175">
        <f t="shared" si="13"/>
        <v>84068.33</v>
      </c>
    </row>
    <row r="63" spans="1:10" s="176" customFormat="1" x14ac:dyDescent="0.25">
      <c r="A63" s="181">
        <v>34</v>
      </c>
      <c r="B63" s="182"/>
      <c r="C63" s="180"/>
      <c r="D63" s="180" t="s">
        <v>50</v>
      </c>
      <c r="E63" s="89">
        <v>0</v>
      </c>
      <c r="F63" s="32">
        <v>92</v>
      </c>
      <c r="G63" s="32">
        <v>130</v>
      </c>
      <c r="H63" s="32">
        <v>0</v>
      </c>
      <c r="I63" s="174">
        <f t="shared" si="20"/>
        <v>0</v>
      </c>
      <c r="J63" s="175">
        <f t="shared" si="13"/>
        <v>130</v>
      </c>
    </row>
    <row r="64" spans="1:10" s="176" customFormat="1" ht="26.25" x14ac:dyDescent="0.25">
      <c r="A64" s="181">
        <v>37</v>
      </c>
      <c r="B64" s="182"/>
      <c r="C64" s="180"/>
      <c r="D64" s="180" t="s">
        <v>88</v>
      </c>
      <c r="E64" s="89">
        <v>8486.2000000000007</v>
      </c>
      <c r="F64" s="32">
        <v>8500</v>
      </c>
      <c r="G64" s="32">
        <v>12000</v>
      </c>
      <c r="H64" s="32">
        <v>0</v>
      </c>
      <c r="I64" s="174">
        <f t="shared" si="20"/>
        <v>0</v>
      </c>
      <c r="J64" s="175">
        <f t="shared" si="13"/>
        <v>12000</v>
      </c>
    </row>
    <row r="65" spans="1:10" s="176" customFormat="1" x14ac:dyDescent="0.25">
      <c r="A65" s="181">
        <v>38</v>
      </c>
      <c r="B65" s="182"/>
      <c r="C65" s="180"/>
      <c r="D65" s="180" t="s">
        <v>130</v>
      </c>
      <c r="E65" s="89">
        <v>352.66</v>
      </c>
      <c r="F65" s="32">
        <v>330</v>
      </c>
      <c r="G65" s="32">
        <v>400</v>
      </c>
      <c r="H65" s="32">
        <v>0</v>
      </c>
      <c r="I65" s="174">
        <f t="shared" si="20"/>
        <v>0</v>
      </c>
      <c r="J65" s="175">
        <f t="shared" si="13"/>
        <v>400</v>
      </c>
    </row>
    <row r="66" spans="1:10" s="176" customFormat="1" x14ac:dyDescent="0.25">
      <c r="A66" s="276">
        <v>4</v>
      </c>
      <c r="B66" s="277"/>
      <c r="C66" s="278"/>
      <c r="D66" s="180" t="s">
        <v>83</v>
      </c>
      <c r="E66" s="89">
        <f>E67</f>
        <v>1196.81</v>
      </c>
      <c r="F66" s="32">
        <f>F67</f>
        <v>3000</v>
      </c>
      <c r="G66" s="32">
        <f>G67</f>
        <v>2000</v>
      </c>
      <c r="H66" s="32">
        <v>0</v>
      </c>
      <c r="I66" s="174">
        <f t="shared" si="20"/>
        <v>0</v>
      </c>
      <c r="J66" s="175">
        <f t="shared" si="13"/>
        <v>2000</v>
      </c>
    </row>
    <row r="67" spans="1:10" s="176" customFormat="1" ht="26.25" x14ac:dyDescent="0.25">
      <c r="A67" s="276">
        <v>42</v>
      </c>
      <c r="B67" s="277"/>
      <c r="C67" s="278"/>
      <c r="D67" s="180" t="s">
        <v>36</v>
      </c>
      <c r="E67" s="89">
        <v>1196.81</v>
      </c>
      <c r="F67" s="32">
        <v>3000</v>
      </c>
      <c r="G67" s="32">
        <v>2000</v>
      </c>
      <c r="H67" s="32">
        <v>0</v>
      </c>
      <c r="I67" s="174">
        <f t="shared" si="20"/>
        <v>0</v>
      </c>
      <c r="J67" s="175">
        <f t="shared" si="13"/>
        <v>2000</v>
      </c>
    </row>
    <row r="68" spans="1:10" s="176" customFormat="1" hidden="1" x14ac:dyDescent="0.25">
      <c r="A68" s="279" t="s">
        <v>89</v>
      </c>
      <c r="B68" s="280"/>
      <c r="C68" s="281"/>
      <c r="D68" s="228" t="s">
        <v>90</v>
      </c>
      <c r="E68" s="90"/>
      <c r="F68" s="46">
        <f>F69+F71</f>
        <v>0</v>
      </c>
      <c r="G68" s="46">
        <f t="shared" ref="G68:H68" si="22">G69+G71</f>
        <v>0</v>
      </c>
      <c r="H68" s="46">
        <f t="shared" si="22"/>
        <v>0</v>
      </c>
      <c r="I68" s="174" t="e">
        <f t="shared" si="20"/>
        <v>#DIV/0!</v>
      </c>
      <c r="J68" s="175">
        <f t="shared" si="13"/>
        <v>0</v>
      </c>
    </row>
    <row r="69" spans="1:10" s="176" customFormat="1" hidden="1" x14ac:dyDescent="0.25">
      <c r="A69" s="276">
        <v>3</v>
      </c>
      <c r="B69" s="277"/>
      <c r="C69" s="278"/>
      <c r="D69" s="180" t="s">
        <v>15</v>
      </c>
      <c r="E69" s="89"/>
      <c r="F69" s="32">
        <f>F70</f>
        <v>0</v>
      </c>
      <c r="G69" s="32">
        <f t="shared" ref="G69:H69" si="23">G70</f>
        <v>0</v>
      </c>
      <c r="H69" s="32">
        <f t="shared" si="23"/>
        <v>0</v>
      </c>
      <c r="I69" s="174" t="e">
        <f t="shared" si="20"/>
        <v>#DIV/0!</v>
      </c>
      <c r="J69" s="175">
        <f t="shared" si="13"/>
        <v>0</v>
      </c>
    </row>
    <row r="70" spans="1:10" s="176" customFormat="1" hidden="1" x14ac:dyDescent="0.25">
      <c r="A70" s="276">
        <v>32</v>
      </c>
      <c r="B70" s="277"/>
      <c r="C70" s="278"/>
      <c r="D70" s="180" t="s">
        <v>26</v>
      </c>
      <c r="E70" s="89"/>
      <c r="F70" s="32"/>
      <c r="G70" s="32"/>
      <c r="H70" s="32"/>
      <c r="I70" s="174" t="e">
        <f t="shared" si="20"/>
        <v>#DIV/0!</v>
      </c>
      <c r="J70" s="175">
        <f t="shared" si="13"/>
        <v>0</v>
      </c>
    </row>
    <row r="71" spans="1:10" s="176" customFormat="1" hidden="1" x14ac:dyDescent="0.25">
      <c r="A71" s="276">
        <v>4</v>
      </c>
      <c r="B71" s="277"/>
      <c r="C71" s="278"/>
      <c r="D71" s="180" t="s">
        <v>83</v>
      </c>
      <c r="E71" s="89"/>
      <c r="F71" s="32">
        <f>F72</f>
        <v>0</v>
      </c>
      <c r="G71" s="32">
        <f t="shared" ref="G71:H71" si="24">G72</f>
        <v>0</v>
      </c>
      <c r="H71" s="32">
        <f t="shared" si="24"/>
        <v>0</v>
      </c>
      <c r="I71" s="174" t="e">
        <f t="shared" si="20"/>
        <v>#DIV/0!</v>
      </c>
      <c r="J71" s="175">
        <f t="shared" si="13"/>
        <v>0</v>
      </c>
    </row>
    <row r="72" spans="1:10" s="176" customFormat="1" ht="26.25" hidden="1" x14ac:dyDescent="0.25">
      <c r="A72" s="276">
        <v>42</v>
      </c>
      <c r="B72" s="277"/>
      <c r="C72" s="278"/>
      <c r="D72" s="180" t="s">
        <v>36</v>
      </c>
      <c r="E72" s="89"/>
      <c r="F72" s="32"/>
      <c r="G72" s="32"/>
      <c r="H72" s="32"/>
      <c r="I72" s="174" t="e">
        <f t="shared" si="20"/>
        <v>#DIV/0!</v>
      </c>
      <c r="J72" s="175">
        <f t="shared" si="13"/>
        <v>0</v>
      </c>
    </row>
    <row r="73" spans="1:10" s="176" customFormat="1" x14ac:dyDescent="0.25">
      <c r="A73" s="279" t="s">
        <v>91</v>
      </c>
      <c r="B73" s="280"/>
      <c r="C73" s="281"/>
      <c r="D73" s="228" t="s">
        <v>92</v>
      </c>
      <c r="E73" s="90">
        <f>E74</f>
        <v>4089.69</v>
      </c>
      <c r="F73" s="46">
        <f>F74+F77</f>
        <v>1500</v>
      </c>
      <c r="G73" s="46">
        <f t="shared" ref="G73:H73" si="25">G74+G77</f>
        <v>1000</v>
      </c>
      <c r="H73" s="46">
        <f t="shared" si="25"/>
        <v>495.34</v>
      </c>
      <c r="I73" s="229">
        <f t="shared" si="20"/>
        <v>0.49534</v>
      </c>
      <c r="J73" s="230">
        <f t="shared" si="13"/>
        <v>1495.34</v>
      </c>
    </row>
    <row r="74" spans="1:10" s="176" customFormat="1" x14ac:dyDescent="0.25">
      <c r="A74" s="276">
        <v>3</v>
      </c>
      <c r="B74" s="277"/>
      <c r="C74" s="278"/>
      <c r="D74" s="180" t="s">
        <v>15</v>
      </c>
      <c r="E74" s="89">
        <f>E75+E76</f>
        <v>4089.69</v>
      </c>
      <c r="F74" s="32">
        <f>F76</f>
        <v>1500</v>
      </c>
      <c r="G74" s="32">
        <f>G76</f>
        <v>1000</v>
      </c>
      <c r="H74" s="32">
        <f>H75+H76</f>
        <v>495.34</v>
      </c>
      <c r="I74" s="174">
        <f t="shared" si="20"/>
        <v>0.49534</v>
      </c>
      <c r="J74" s="175">
        <f t="shared" si="13"/>
        <v>1495.34</v>
      </c>
    </row>
    <row r="75" spans="1:10" s="176" customFormat="1" ht="15.75" customHeight="1" x14ac:dyDescent="0.25">
      <c r="A75" s="276">
        <v>31</v>
      </c>
      <c r="B75" s="277"/>
      <c r="C75" s="278"/>
      <c r="D75" s="180" t="s">
        <v>78</v>
      </c>
      <c r="E75" s="89">
        <v>1563.08</v>
      </c>
      <c r="F75" s="32">
        <v>0</v>
      </c>
      <c r="G75" s="32">
        <v>0</v>
      </c>
      <c r="H75" s="32">
        <v>0</v>
      </c>
      <c r="I75" s="229">
        <v>0</v>
      </c>
      <c r="J75" s="230">
        <f t="shared" si="13"/>
        <v>0</v>
      </c>
    </row>
    <row r="76" spans="1:10" s="176" customFormat="1" x14ac:dyDescent="0.25">
      <c r="A76" s="276">
        <v>32</v>
      </c>
      <c r="B76" s="277"/>
      <c r="C76" s="278"/>
      <c r="D76" s="180" t="s">
        <v>26</v>
      </c>
      <c r="E76" s="89">
        <v>2526.61</v>
      </c>
      <c r="F76" s="32">
        <v>1500</v>
      </c>
      <c r="G76" s="32">
        <v>1000</v>
      </c>
      <c r="H76" s="32">
        <v>495.34</v>
      </c>
      <c r="I76" s="174">
        <f>H76/G76</f>
        <v>0.49534</v>
      </c>
      <c r="J76" s="175">
        <f t="shared" si="13"/>
        <v>1495.34</v>
      </c>
    </row>
    <row r="77" spans="1:10" s="176" customFormat="1" hidden="1" x14ac:dyDescent="0.25">
      <c r="A77" s="276">
        <v>4</v>
      </c>
      <c r="B77" s="277"/>
      <c r="C77" s="278"/>
      <c r="D77" s="180" t="s">
        <v>83</v>
      </c>
      <c r="E77" s="231"/>
      <c r="F77" s="32"/>
      <c r="G77" s="32"/>
      <c r="H77" s="32"/>
      <c r="I77" s="229" t="e">
        <f>H77/G77</f>
        <v>#DIV/0!</v>
      </c>
      <c r="J77" s="230">
        <f t="shared" si="13"/>
        <v>0</v>
      </c>
    </row>
    <row r="78" spans="1:10" s="176" customFormat="1" ht="24.75" customHeight="1" x14ac:dyDescent="0.25">
      <c r="A78" s="276">
        <v>42</v>
      </c>
      <c r="B78" s="277"/>
      <c r="C78" s="278"/>
      <c r="D78" s="180" t="s">
        <v>36</v>
      </c>
      <c r="E78" s="89">
        <v>0</v>
      </c>
      <c r="F78" s="32">
        <v>0</v>
      </c>
      <c r="G78" s="32">
        <v>0</v>
      </c>
      <c r="H78" s="32">
        <v>0</v>
      </c>
      <c r="I78" s="174">
        <v>0</v>
      </c>
      <c r="J78" s="175">
        <f t="shared" si="13"/>
        <v>0</v>
      </c>
    </row>
    <row r="79" spans="1:10" s="176" customFormat="1" ht="15.75" customHeight="1" x14ac:dyDescent="0.25">
      <c r="A79" s="279" t="s">
        <v>151</v>
      </c>
      <c r="B79" s="280"/>
      <c r="C79" s="281"/>
      <c r="D79" s="228" t="s">
        <v>42</v>
      </c>
      <c r="E79" s="90">
        <f>E80</f>
        <v>765.75</v>
      </c>
      <c r="F79" s="46">
        <f>F80+F46</f>
        <v>657.51</v>
      </c>
      <c r="G79" s="46">
        <f>G80+G46</f>
        <v>600</v>
      </c>
      <c r="H79" s="136">
        <f>H80+H46+H82</f>
        <v>1781.3200000000002</v>
      </c>
      <c r="I79" s="229">
        <f>H79/G79</f>
        <v>2.968866666666667</v>
      </c>
      <c r="J79" s="230">
        <f t="shared" si="13"/>
        <v>2381.3200000000002</v>
      </c>
    </row>
    <row r="80" spans="1:10" s="176" customFormat="1" ht="18" customHeight="1" x14ac:dyDescent="0.25">
      <c r="A80" s="276">
        <v>3</v>
      </c>
      <c r="B80" s="277"/>
      <c r="C80" s="278"/>
      <c r="D80" s="180" t="s">
        <v>15</v>
      </c>
      <c r="E80" s="89">
        <f>E81</f>
        <v>765.75</v>
      </c>
      <c r="F80" s="32">
        <f>F81</f>
        <v>657.51</v>
      </c>
      <c r="G80" s="32">
        <v>600</v>
      </c>
      <c r="H80" s="137">
        <f>H81</f>
        <v>921.32</v>
      </c>
      <c r="I80" s="174">
        <f>H80/G80</f>
        <v>1.5355333333333334</v>
      </c>
      <c r="J80" s="175">
        <f t="shared" si="13"/>
        <v>1521.3200000000002</v>
      </c>
    </row>
    <row r="81" spans="1:10" s="176" customFormat="1" ht="27" customHeight="1" x14ac:dyDescent="0.25">
      <c r="A81" s="276">
        <v>32</v>
      </c>
      <c r="B81" s="277"/>
      <c r="C81" s="278"/>
      <c r="D81" s="180" t="s">
        <v>26</v>
      </c>
      <c r="E81" s="89">
        <v>765.75</v>
      </c>
      <c r="F81" s="32">
        <v>657.51</v>
      </c>
      <c r="G81" s="32">
        <v>600</v>
      </c>
      <c r="H81" s="137">
        <v>921.32</v>
      </c>
      <c r="I81" s="174">
        <f>H81/G81</f>
        <v>1.5355333333333334</v>
      </c>
      <c r="J81" s="175">
        <f t="shared" si="13"/>
        <v>1521.3200000000002</v>
      </c>
    </row>
    <row r="82" spans="1:10" s="176" customFormat="1" x14ac:dyDescent="0.25">
      <c r="A82" s="276">
        <v>4</v>
      </c>
      <c r="B82" s="277"/>
      <c r="C82" s="278"/>
      <c r="D82" s="180" t="s">
        <v>83</v>
      </c>
      <c r="E82" s="89">
        <f>E83</f>
        <v>0</v>
      </c>
      <c r="F82" s="32">
        <f>F83</f>
        <v>0</v>
      </c>
      <c r="G82" s="32">
        <f>G83</f>
        <v>0</v>
      </c>
      <c r="H82" s="137">
        <f>H83</f>
        <v>860</v>
      </c>
      <c r="I82" s="174">
        <v>0</v>
      </c>
      <c r="J82" s="175">
        <f t="shared" si="13"/>
        <v>860</v>
      </c>
    </row>
    <row r="83" spans="1:10" s="176" customFormat="1" ht="26.25" x14ac:dyDescent="0.25">
      <c r="A83" s="276">
        <v>42</v>
      </c>
      <c r="B83" s="277"/>
      <c r="C83" s="278"/>
      <c r="D83" s="180" t="s">
        <v>36</v>
      </c>
      <c r="E83" s="89">
        <v>0</v>
      </c>
      <c r="F83" s="32">
        <v>0</v>
      </c>
      <c r="G83" s="32">
        <v>0</v>
      </c>
      <c r="H83" s="137">
        <v>860</v>
      </c>
      <c r="I83" s="174">
        <v>0</v>
      </c>
      <c r="J83" s="175">
        <f t="shared" si="13"/>
        <v>860</v>
      </c>
    </row>
    <row r="84" spans="1:10" s="176" customFormat="1" ht="23.25" customHeight="1" x14ac:dyDescent="0.25">
      <c r="A84" s="285" t="s">
        <v>183</v>
      </c>
      <c r="B84" s="286"/>
      <c r="C84" s="287"/>
      <c r="D84" s="183" t="s">
        <v>184</v>
      </c>
      <c r="E84" s="183"/>
      <c r="F84" s="234"/>
      <c r="G84" s="234">
        <f>G85</f>
        <v>120875</v>
      </c>
      <c r="H84" s="235">
        <f>H85</f>
        <v>0</v>
      </c>
      <c r="I84" s="236">
        <f>I85</f>
        <v>0</v>
      </c>
      <c r="J84" s="237">
        <f>J85</f>
        <v>120875</v>
      </c>
    </row>
    <row r="85" spans="1:10" s="176" customFormat="1" ht="33.75" customHeight="1" x14ac:dyDescent="0.25">
      <c r="A85" s="282" t="s">
        <v>181</v>
      </c>
      <c r="B85" s="283"/>
      <c r="C85" s="284"/>
      <c r="D85" s="227" t="s">
        <v>182</v>
      </c>
      <c r="E85" s="111">
        <f>E119+E88+E94+E99+E113</f>
        <v>0</v>
      </c>
      <c r="F85" s="112">
        <f>F119+F88+F94+F99+F108+F113</f>
        <v>0</v>
      </c>
      <c r="G85" s="112">
        <f>G119+G88+G94+G99+G108+G113+G125</f>
        <v>120875</v>
      </c>
      <c r="H85" s="112">
        <f>H119+H88+H94+H99+H108+H113+H125</f>
        <v>0</v>
      </c>
      <c r="I85" s="187">
        <f>H85/G85</f>
        <v>0</v>
      </c>
      <c r="J85" s="188">
        <f>H85+G85</f>
        <v>120875</v>
      </c>
    </row>
    <row r="86" spans="1:10" s="176" customFormat="1" x14ac:dyDescent="0.25">
      <c r="A86" s="279" t="s">
        <v>176</v>
      </c>
      <c r="B86" s="280"/>
      <c r="C86" s="281"/>
      <c r="D86" s="228" t="s">
        <v>177</v>
      </c>
      <c r="E86" s="89"/>
      <c r="F86" s="32"/>
      <c r="G86" s="46">
        <f>G87</f>
        <v>120875</v>
      </c>
      <c r="H86" s="46">
        <v>0</v>
      </c>
      <c r="I86" s="229">
        <f>H86/G86</f>
        <v>0</v>
      </c>
      <c r="J86" s="230">
        <f>H86+G86</f>
        <v>120875</v>
      </c>
    </row>
    <row r="87" spans="1:10" s="176" customFormat="1" x14ac:dyDescent="0.25">
      <c r="A87" s="276">
        <v>4</v>
      </c>
      <c r="B87" s="277"/>
      <c r="C87" s="278"/>
      <c r="D87" s="180" t="s">
        <v>83</v>
      </c>
      <c r="E87" s="89"/>
      <c r="F87" s="32"/>
      <c r="G87" s="32">
        <f>G88</f>
        <v>120875</v>
      </c>
      <c r="H87" s="32">
        <v>0</v>
      </c>
      <c r="I87" s="174">
        <f>H87/G87</f>
        <v>0</v>
      </c>
      <c r="J87" s="175">
        <f>H87+G87</f>
        <v>120875</v>
      </c>
    </row>
    <row r="88" spans="1:10" s="176" customFormat="1" ht="26.25" x14ac:dyDescent="0.25">
      <c r="A88" s="276">
        <v>42</v>
      </c>
      <c r="B88" s="277"/>
      <c r="C88" s="278"/>
      <c r="D88" s="180" t="s">
        <v>36</v>
      </c>
      <c r="E88" s="89"/>
      <c r="F88" s="32"/>
      <c r="G88" s="32">
        <v>120875</v>
      </c>
      <c r="H88" s="32">
        <v>0</v>
      </c>
      <c r="I88" s="229">
        <f>H88/G88</f>
        <v>0</v>
      </c>
      <c r="J88" s="230">
        <f>H88+G88</f>
        <v>120875</v>
      </c>
    </row>
    <row r="89" spans="1:10" x14ac:dyDescent="0.25">
      <c r="H89" s="129"/>
    </row>
    <row r="90" spans="1:10" x14ac:dyDescent="0.25">
      <c r="D90" s="130"/>
      <c r="E90" s="130"/>
      <c r="H90" s="129"/>
    </row>
    <row r="91" spans="1:10" x14ac:dyDescent="0.25">
      <c r="D91" s="130"/>
      <c r="E91" s="130"/>
      <c r="H91" s="129"/>
      <c r="I91" s="303" t="s">
        <v>188</v>
      </c>
      <c r="J91" s="303"/>
    </row>
    <row r="92" spans="1:10" ht="26.25" customHeight="1" x14ac:dyDescent="0.25">
      <c r="D92" s="130"/>
      <c r="E92" s="130"/>
      <c r="I92" s="304" t="s">
        <v>189</v>
      </c>
      <c r="J92" s="304"/>
    </row>
  </sheetData>
  <mergeCells count="85">
    <mergeCell ref="I91:J91"/>
    <mergeCell ref="I92:J92"/>
    <mergeCell ref="A12:C12"/>
    <mergeCell ref="A11:C11"/>
    <mergeCell ref="A17:C17"/>
    <mergeCell ref="A19:C19"/>
    <mergeCell ref="A20:C20"/>
    <mergeCell ref="A13:C13"/>
    <mergeCell ref="A14:C14"/>
    <mergeCell ref="A15:C15"/>
    <mergeCell ref="A16:C16"/>
    <mergeCell ref="A18:C18"/>
    <mergeCell ref="A21:C21"/>
    <mergeCell ref="A22:C22"/>
    <mergeCell ref="A26:C26"/>
    <mergeCell ref="A28:C28"/>
    <mergeCell ref="A6:C6"/>
    <mergeCell ref="A9:C9"/>
    <mergeCell ref="A10:C10"/>
    <mergeCell ref="A7:C7"/>
    <mergeCell ref="A8:C8"/>
    <mergeCell ref="A29:C29"/>
    <mergeCell ref="A30:C30"/>
    <mergeCell ref="A31:C31"/>
    <mergeCell ref="A25:C25"/>
    <mergeCell ref="A23:C23"/>
    <mergeCell ref="A27:C27"/>
    <mergeCell ref="A24:C24"/>
    <mergeCell ref="A34:C34"/>
    <mergeCell ref="A35:C35"/>
    <mergeCell ref="A36:C36"/>
    <mergeCell ref="A37:C37"/>
    <mergeCell ref="A38:C38"/>
    <mergeCell ref="A80:C80"/>
    <mergeCell ref="A81:C81"/>
    <mergeCell ref="A46:C46"/>
    <mergeCell ref="A47:C47"/>
    <mergeCell ref="A48:C48"/>
    <mergeCell ref="A49:C49"/>
    <mergeCell ref="A50:C50"/>
    <mergeCell ref="A52:C52"/>
    <mergeCell ref="A53:C53"/>
    <mergeCell ref="A51:C51"/>
    <mergeCell ref="A62:C62"/>
    <mergeCell ref="A66:C66"/>
    <mergeCell ref="A54:C54"/>
    <mergeCell ref="A55:C55"/>
    <mergeCell ref="A56:C56"/>
    <mergeCell ref="A39:C39"/>
    <mergeCell ref="A1:K1"/>
    <mergeCell ref="A2:K2"/>
    <mergeCell ref="A4:J4"/>
    <mergeCell ref="A82:C82"/>
    <mergeCell ref="A40:C40"/>
    <mergeCell ref="A41:C41"/>
    <mergeCell ref="A43:C43"/>
    <mergeCell ref="A44:C44"/>
    <mergeCell ref="A45:C45"/>
    <mergeCell ref="A42:C42"/>
    <mergeCell ref="A32:C32"/>
    <mergeCell ref="A33:C33"/>
    <mergeCell ref="A67:C67"/>
    <mergeCell ref="A68:C68"/>
    <mergeCell ref="A69:C69"/>
    <mergeCell ref="A86:C86"/>
    <mergeCell ref="A87:C87"/>
    <mergeCell ref="A88:C88"/>
    <mergeCell ref="A85:C85"/>
    <mergeCell ref="A84:C84"/>
    <mergeCell ref="A83:C83"/>
    <mergeCell ref="A60:C60"/>
    <mergeCell ref="A61:C61"/>
    <mergeCell ref="A57:C57"/>
    <mergeCell ref="A58:C58"/>
    <mergeCell ref="A59:C59"/>
    <mergeCell ref="A70:C70"/>
    <mergeCell ref="A71:C71"/>
    <mergeCell ref="A78:C78"/>
    <mergeCell ref="A72:C72"/>
    <mergeCell ref="A73:C73"/>
    <mergeCell ref="A74:C74"/>
    <mergeCell ref="A75:C75"/>
    <mergeCell ref="A76:C76"/>
    <mergeCell ref="A77:C77"/>
    <mergeCell ref="A79:C79"/>
  </mergeCells>
  <pageMargins left="0.23622047244094491" right="0.23622047244094491" top="0.55118110236220474" bottom="0.55118110236220474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2025-03-20T11:03:21Z</cp:lastPrinted>
  <dcterms:created xsi:type="dcterms:W3CDTF">2022-08-12T12:51:27Z</dcterms:created>
  <dcterms:modified xsi:type="dcterms:W3CDTF">2025-03-20T11:04:31Z</dcterms:modified>
</cp:coreProperties>
</file>