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OneDrive - CARNET\Desktop\ANITA\FINANCIJSKI PLAN\FP 2025. - projekcija 2026. - 2027\"/>
    </mc:Choice>
  </mc:AlternateContent>
  <bookViews>
    <workbookView xWindow="0" yWindow="0" windowWidth="28800" windowHeight="11475" activeTab="1"/>
  </bookViews>
  <sheets>
    <sheet name="SAŽETAK" sheetId="1" r:id="rId1"/>
    <sheet name=" Račun prihoda i rashoda" sheetId="3" r:id="rId2"/>
    <sheet name="Račun financiranja" sheetId="6" r:id="rId3"/>
    <sheet name="POSEBNI DIO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7" l="1"/>
  <c r="H20" i="7"/>
  <c r="G19" i="7"/>
  <c r="I25" i="7"/>
  <c r="I22" i="7"/>
  <c r="H25" i="7"/>
  <c r="H22" i="7"/>
  <c r="G25" i="7"/>
  <c r="G22" i="7"/>
  <c r="H33" i="7"/>
  <c r="I33" i="7"/>
  <c r="G33" i="7"/>
  <c r="H43" i="7"/>
  <c r="H42" i="7" s="1"/>
  <c r="I43" i="7"/>
  <c r="I42" i="7" s="1"/>
  <c r="G42" i="7"/>
  <c r="G43" i="7"/>
  <c r="I45" i="7"/>
  <c r="I44" i="7"/>
  <c r="H45" i="7"/>
  <c r="H44" i="7"/>
  <c r="G45" i="7"/>
  <c r="G44" i="7"/>
  <c r="H39" i="7"/>
  <c r="H38" i="7" s="1"/>
  <c r="I39" i="7"/>
  <c r="I38" i="7" s="1"/>
  <c r="G38" i="7"/>
  <c r="G39" i="7"/>
  <c r="I41" i="7"/>
  <c r="I40" i="7"/>
  <c r="H41" i="7"/>
  <c r="H40" i="7"/>
  <c r="G41" i="7"/>
  <c r="G40" i="7"/>
  <c r="I37" i="7"/>
  <c r="I36" i="7"/>
  <c r="H37" i="7"/>
  <c r="H36" i="7"/>
  <c r="G67" i="3" l="1"/>
  <c r="G68" i="3"/>
  <c r="G11" i="3"/>
  <c r="G19" i="3"/>
  <c r="H14" i="1"/>
  <c r="H13" i="1"/>
  <c r="G31" i="3"/>
  <c r="G30" i="3" s="1"/>
  <c r="G22" i="3"/>
  <c r="G28" i="3"/>
  <c r="I23" i="3"/>
  <c r="H23" i="3"/>
  <c r="G23" i="3"/>
  <c r="G49" i="3"/>
  <c r="G12" i="3" l="1"/>
  <c r="G37" i="3"/>
  <c r="I21" i="7"/>
  <c r="I26" i="7"/>
  <c r="H26" i="7"/>
  <c r="H35" i="7"/>
  <c r="H34" i="7" s="1"/>
  <c r="J14" i="1"/>
  <c r="I14" i="1"/>
  <c r="I133" i="3"/>
  <c r="I132" i="3" s="1"/>
  <c r="H133" i="3"/>
  <c r="H132" i="3" s="1"/>
  <c r="I48" i="3"/>
  <c r="H62" i="3"/>
  <c r="H48" i="3"/>
  <c r="I44" i="3"/>
  <c r="H44" i="3"/>
  <c r="H39" i="1"/>
  <c r="F14" i="1"/>
  <c r="E41" i="3"/>
  <c r="F31" i="3"/>
  <c r="I35" i="7" l="1"/>
  <c r="I34" i="7" s="1"/>
  <c r="I20" i="7"/>
  <c r="G134" i="3"/>
  <c r="G133" i="3" s="1"/>
  <c r="G132" i="3" s="1"/>
  <c r="G26" i="7"/>
  <c r="G21" i="7"/>
  <c r="G62" i="3"/>
  <c r="G48" i="3"/>
  <c r="G44" i="3"/>
  <c r="I85" i="7"/>
  <c r="H85" i="7"/>
  <c r="I77" i="7"/>
  <c r="H77" i="7"/>
  <c r="H75" i="7"/>
  <c r="I75" i="7" s="1"/>
  <c r="H74" i="7"/>
  <c r="I74" i="7" s="1"/>
  <c r="H72" i="3"/>
  <c r="I72" i="3" s="1"/>
  <c r="H65" i="3"/>
  <c r="I65" i="3" s="1"/>
  <c r="I64" i="3" s="1"/>
  <c r="H63" i="3"/>
  <c r="I63" i="3" s="1"/>
  <c r="H52" i="3"/>
  <c r="I52" i="3" s="1"/>
  <c r="G64" i="3"/>
  <c r="I51" i="3"/>
  <c r="I60" i="7"/>
  <c r="H60" i="7"/>
  <c r="I31" i="7"/>
  <c r="I30" i="7" s="1"/>
  <c r="H31" i="7"/>
  <c r="H30" i="7" s="1"/>
  <c r="G31" i="7"/>
  <c r="G30" i="7" s="1"/>
  <c r="I16" i="7"/>
  <c r="I15" i="7" s="1"/>
  <c r="H16" i="7"/>
  <c r="H15" i="7" s="1"/>
  <c r="I13" i="7"/>
  <c r="I12" i="7" s="1"/>
  <c r="I11" i="7" s="1"/>
  <c r="H13" i="7"/>
  <c r="H12" i="7" s="1"/>
  <c r="H11" i="7" s="1"/>
  <c r="H113" i="3"/>
  <c r="I113" i="3" s="1"/>
  <c r="H99" i="3"/>
  <c r="I99" i="3" s="1"/>
  <c r="H97" i="3"/>
  <c r="I97" i="3" s="1"/>
  <c r="H69" i="3"/>
  <c r="I69" i="3" s="1"/>
  <c r="G35" i="7" l="1"/>
  <c r="G34" i="7" s="1"/>
  <c r="G20" i="7"/>
  <c r="H64" i="3"/>
  <c r="G85" i="7"/>
  <c r="G77" i="7"/>
  <c r="G73" i="7"/>
  <c r="H73" i="7" s="1"/>
  <c r="I73" i="7" s="1"/>
  <c r="G45" i="3"/>
  <c r="H45" i="3" s="1"/>
  <c r="I45" i="3" s="1"/>
  <c r="G72" i="7"/>
  <c r="H72" i="7" s="1"/>
  <c r="I72" i="7" s="1"/>
  <c r="I71" i="7" s="1"/>
  <c r="G52" i="3"/>
  <c r="G66" i="7"/>
  <c r="G68" i="7"/>
  <c r="G51" i="3"/>
  <c r="G60" i="7"/>
  <c r="G16" i="7"/>
  <c r="G15" i="7" s="1"/>
  <c r="G13" i="7"/>
  <c r="G12" i="7" s="1"/>
  <c r="G11" i="7" s="1"/>
  <c r="G10" i="7" s="1"/>
  <c r="H10" i="7" s="1"/>
  <c r="I10" i="7" s="1"/>
  <c r="F12" i="7"/>
  <c r="H49" i="3"/>
  <c r="I49" i="3" s="1"/>
  <c r="H29" i="3"/>
  <c r="I29" i="3" s="1"/>
  <c r="H20" i="3"/>
  <c r="I18" i="3"/>
  <c r="I14" i="3"/>
  <c r="E85" i="7"/>
  <c r="E71" i="7"/>
  <c r="E77" i="7"/>
  <c r="E68" i="7"/>
  <c r="E66" i="7"/>
  <c r="E60" i="7"/>
  <c r="E91" i="7"/>
  <c r="E48" i="7"/>
  <c r="E47" i="7" s="1"/>
  <c r="E35" i="7"/>
  <c r="E34" i="7" s="1"/>
  <c r="E31" i="7"/>
  <c r="E30" i="7" s="1"/>
  <c r="E21" i="7"/>
  <c r="E20" i="7" s="1"/>
  <c r="E11" i="7"/>
  <c r="E10" i="7" s="1"/>
  <c r="E133" i="3"/>
  <c r="E132" i="3" s="1"/>
  <c r="E131" i="3" s="1"/>
  <c r="E103" i="3"/>
  <c r="E104" i="3"/>
  <c r="E101" i="3"/>
  <c r="E99" i="3"/>
  <c r="E106" i="3"/>
  <c r="E97" i="3"/>
  <c r="E96" i="3"/>
  <c r="E53" i="3"/>
  <c r="E46" i="3"/>
  <c r="E52" i="3"/>
  <c r="E45" i="3"/>
  <c r="E51" i="3"/>
  <c r="E49" i="3"/>
  <c r="E62" i="3"/>
  <c r="E44" i="3"/>
  <c r="E31" i="3"/>
  <c r="I20" i="3" l="1"/>
  <c r="I19" i="3" s="1"/>
  <c r="H19" i="3"/>
  <c r="H71" i="7"/>
  <c r="G71" i="7"/>
  <c r="F85" i="7"/>
  <c r="F71" i="7"/>
  <c r="F77" i="7"/>
  <c r="F68" i="7"/>
  <c r="F66" i="7"/>
  <c r="F60" i="7"/>
  <c r="F91" i="7"/>
  <c r="F31" i="7"/>
  <c r="F30" i="7" s="1"/>
  <c r="F21" i="7"/>
  <c r="F20" i="7" s="1"/>
  <c r="F132" i="3"/>
  <c r="F131" i="3" s="1"/>
  <c r="F52" i="3"/>
  <c r="F30" i="3"/>
  <c r="F64" i="3"/>
  <c r="F104" i="3"/>
  <c r="F103" i="3"/>
  <c r="F101" i="3"/>
  <c r="F99" i="3"/>
  <c r="F106" i="3"/>
  <c r="F97" i="3"/>
  <c r="F113" i="3" s="1"/>
  <c r="F96" i="3"/>
  <c r="F48" i="3"/>
  <c r="F44" i="3"/>
  <c r="F53" i="3"/>
  <c r="F120" i="3" s="1"/>
  <c r="F63" i="3"/>
  <c r="F59" i="3"/>
  <c r="F45" i="3"/>
  <c r="F71" i="3"/>
  <c r="F51" i="3"/>
  <c r="F50" i="3"/>
  <c r="F115" i="3" s="1"/>
  <c r="F55" i="3"/>
  <c r="F122" i="3" s="1"/>
  <c r="F69" i="3"/>
  <c r="F67" i="3" s="1"/>
  <c r="F57" i="3"/>
  <c r="F49" i="3"/>
  <c r="F62" i="3"/>
  <c r="F16" i="3"/>
  <c r="F117" i="3" l="1"/>
  <c r="F116" i="3" s="1"/>
  <c r="F43" i="3"/>
  <c r="F47" i="3"/>
  <c r="F119" i="3"/>
  <c r="F118" i="3" s="1"/>
  <c r="F112" i="3"/>
  <c r="F111" i="3" s="1"/>
  <c r="H31" i="3"/>
  <c r="I31" i="3"/>
  <c r="I118" i="3"/>
  <c r="H118" i="3"/>
  <c r="G118" i="3"/>
  <c r="E118" i="3"/>
  <c r="I116" i="3"/>
  <c r="H116" i="3"/>
  <c r="G116" i="3"/>
  <c r="E116" i="3"/>
  <c r="I114" i="3"/>
  <c r="H114" i="3"/>
  <c r="G114" i="3"/>
  <c r="F114" i="3"/>
  <c r="E114" i="3"/>
  <c r="I121" i="3"/>
  <c r="H121" i="3"/>
  <c r="G121" i="3"/>
  <c r="F121" i="3"/>
  <c r="E121" i="3"/>
  <c r="I111" i="3"/>
  <c r="H111" i="3"/>
  <c r="G111" i="3"/>
  <c r="E111" i="3"/>
  <c r="E102" i="3"/>
  <c r="I102" i="3"/>
  <c r="H102" i="3"/>
  <c r="G102" i="3"/>
  <c r="G94" i="3" s="1"/>
  <c r="F102" i="3"/>
  <c r="E100" i="3"/>
  <c r="I100" i="3"/>
  <c r="H100" i="3"/>
  <c r="G100" i="3"/>
  <c r="F100" i="3"/>
  <c r="I98" i="3"/>
  <c r="H98" i="3"/>
  <c r="G98" i="3"/>
  <c r="F98" i="3"/>
  <c r="E98" i="3"/>
  <c r="I105" i="3"/>
  <c r="H105" i="3"/>
  <c r="G105" i="3"/>
  <c r="F105" i="3"/>
  <c r="E105" i="3"/>
  <c r="I95" i="3"/>
  <c r="H95" i="3"/>
  <c r="G95" i="3"/>
  <c r="F95" i="3"/>
  <c r="E95" i="3"/>
  <c r="I110" i="3" l="1"/>
  <c r="F110" i="3"/>
  <c r="H94" i="3"/>
  <c r="F94" i="3"/>
  <c r="I94" i="3"/>
  <c r="H110" i="3"/>
  <c r="G110" i="3"/>
  <c r="H14" i="7"/>
  <c r="I14" i="7"/>
  <c r="I29" i="7"/>
  <c r="I46" i="7"/>
  <c r="I52" i="7"/>
  <c r="I51" i="7" s="1"/>
  <c r="I50" i="7" s="1"/>
  <c r="I57" i="7"/>
  <c r="I90" i="7" s="1"/>
  <c r="I59" i="7"/>
  <c r="I70" i="7"/>
  <c r="I80" i="7"/>
  <c r="I82" i="7"/>
  <c r="I84" i="7"/>
  <c r="G9" i="7"/>
  <c r="G14" i="7"/>
  <c r="G29" i="7"/>
  <c r="H29" i="7"/>
  <c r="G46" i="7"/>
  <c r="H46" i="7"/>
  <c r="G52" i="7"/>
  <c r="G51" i="7" s="1"/>
  <c r="G50" i="7" s="1"/>
  <c r="H52" i="7"/>
  <c r="H51" i="7" s="1"/>
  <c r="H50" i="7" s="1"/>
  <c r="G57" i="7"/>
  <c r="G90" i="7" s="1"/>
  <c r="H57" i="7"/>
  <c r="H90" i="7" s="1"/>
  <c r="G59" i="7"/>
  <c r="H59" i="7"/>
  <c r="G70" i="7"/>
  <c r="G80" i="7"/>
  <c r="H80" i="7"/>
  <c r="G82" i="7"/>
  <c r="H82" i="7"/>
  <c r="G84" i="7"/>
  <c r="H84" i="7"/>
  <c r="I43" i="3"/>
  <c r="I47" i="3"/>
  <c r="I60" i="3"/>
  <c r="I56" i="3"/>
  <c r="H60" i="3"/>
  <c r="H56" i="3"/>
  <c r="H47" i="3"/>
  <c r="H43" i="3"/>
  <c r="G66" i="3"/>
  <c r="G60" i="3"/>
  <c r="F60" i="3"/>
  <c r="G56" i="3"/>
  <c r="G43" i="3"/>
  <c r="G47" i="3"/>
  <c r="H30" i="3"/>
  <c r="I30" i="3"/>
  <c r="I16" i="3"/>
  <c r="H16" i="3"/>
  <c r="I13" i="3"/>
  <c r="H13" i="3"/>
  <c r="G16" i="3"/>
  <c r="G13" i="3"/>
  <c r="G42" i="3" l="1"/>
  <c r="I42" i="3"/>
  <c r="H42" i="3"/>
  <c r="H79" i="7"/>
  <c r="G79" i="7"/>
  <c r="I79" i="7"/>
  <c r="I65" i="7"/>
  <c r="I19" i="7"/>
  <c r="I18" i="7" s="1"/>
  <c r="H65" i="7"/>
  <c r="G65" i="7"/>
  <c r="I8" i="7"/>
  <c r="I9" i="7"/>
  <c r="H70" i="7"/>
  <c r="H19" i="7"/>
  <c r="G18" i="7"/>
  <c r="G7" i="7" s="1"/>
  <c r="H8" i="7"/>
  <c r="G8" i="7"/>
  <c r="H9" i="7"/>
  <c r="F76" i="3"/>
  <c r="E76" i="3"/>
  <c r="E13" i="3"/>
  <c r="E84" i="7"/>
  <c r="I56" i="7" l="1"/>
  <c r="I55" i="7" s="1"/>
  <c r="I7" i="7" s="1"/>
  <c r="G56" i="7"/>
  <c r="G55" i="7" s="1"/>
  <c r="F66" i="3"/>
  <c r="H56" i="7"/>
  <c r="H55" i="7" s="1"/>
  <c r="H7" i="7" s="1"/>
  <c r="E70" i="7"/>
  <c r="E65" i="7"/>
  <c r="E59" i="7"/>
  <c r="E90" i="7"/>
  <c r="E19" i="7"/>
  <c r="E29" i="7"/>
  <c r="E46" i="7"/>
  <c r="E33" i="7"/>
  <c r="E14" i="7"/>
  <c r="E9" i="7"/>
  <c r="F39" i="1"/>
  <c r="J23" i="1"/>
  <c r="I23" i="1"/>
  <c r="H23" i="1"/>
  <c r="G23" i="1"/>
  <c r="F23" i="1"/>
  <c r="J13" i="1"/>
  <c r="I13" i="1"/>
  <c r="G13" i="1"/>
  <c r="F13" i="1"/>
  <c r="J10" i="1"/>
  <c r="I10" i="1"/>
  <c r="H10" i="1"/>
  <c r="G10" i="1"/>
  <c r="G16" i="1" s="1"/>
  <c r="F10" i="1"/>
  <c r="E18" i="7" l="1"/>
  <c r="E56" i="7"/>
  <c r="E55" i="7" s="1"/>
  <c r="G39" i="1"/>
  <c r="I16" i="1"/>
  <c r="I24" i="1" s="1"/>
  <c r="I30" i="1" s="1"/>
  <c r="J16" i="1"/>
  <c r="J24" i="1" s="1"/>
  <c r="J30" i="1" s="1"/>
  <c r="J31" i="1" s="1"/>
  <c r="H16" i="1"/>
  <c r="H24" i="1" s="1"/>
  <c r="E8" i="7"/>
  <c r="F16" i="1"/>
  <c r="F24" i="1" s="1"/>
  <c r="F31" i="1" s="1"/>
  <c r="G24" i="1" l="1"/>
  <c r="G31" i="1" s="1"/>
  <c r="I39" i="1"/>
  <c r="J36" i="1" s="1"/>
  <c r="J39" i="1" s="1"/>
  <c r="I31" i="1"/>
  <c r="H31" i="1"/>
  <c r="E67" i="3"/>
  <c r="E66" i="3" s="1"/>
  <c r="E60" i="3"/>
  <c r="E56" i="3"/>
  <c r="E47" i="3"/>
  <c r="E43" i="3"/>
  <c r="E30" i="3"/>
  <c r="E22" i="3"/>
  <c r="E19" i="3"/>
  <c r="E16" i="3"/>
  <c r="E12" i="3" l="1"/>
  <c r="E37" i="3" l="1"/>
  <c r="E11" i="3"/>
  <c r="F82" i="7"/>
  <c r="F80" i="7"/>
  <c r="F70" i="7"/>
  <c r="F57" i="7"/>
  <c r="F52" i="7"/>
  <c r="F51" i="7" s="1"/>
  <c r="F50" i="7" s="1"/>
  <c r="F46" i="7"/>
  <c r="F33" i="7"/>
  <c r="F29" i="7"/>
  <c r="F19" i="7"/>
  <c r="F14" i="7"/>
  <c r="F65" i="7" l="1"/>
  <c r="F90" i="7"/>
  <c r="F8" i="7"/>
  <c r="F59" i="7"/>
  <c r="F84" i="7"/>
  <c r="F79" i="7"/>
  <c r="F9" i="7"/>
  <c r="F56" i="7" l="1"/>
  <c r="F55" i="7" s="1"/>
  <c r="F7" i="7" s="1"/>
  <c r="H83" i="3" l="1"/>
  <c r="H79" i="3"/>
  <c r="I79" i="3"/>
  <c r="H80" i="3"/>
  <c r="I80" i="3"/>
  <c r="H81" i="3"/>
  <c r="I81" i="3"/>
  <c r="H82" i="3"/>
  <c r="I82" i="3"/>
  <c r="I83" i="3"/>
  <c r="H84" i="3"/>
  <c r="I84" i="3"/>
  <c r="H85" i="3"/>
  <c r="I85" i="3"/>
  <c r="F85" i="3"/>
  <c r="F84" i="3"/>
  <c r="F83" i="3"/>
  <c r="F82" i="3"/>
  <c r="F81" i="3"/>
  <c r="F80" i="3"/>
  <c r="F79" i="3"/>
  <c r="F86" i="3" l="1"/>
  <c r="H86" i="3"/>
  <c r="I86" i="3"/>
  <c r="H67" i="3" l="1"/>
  <c r="H66" i="3" s="1"/>
  <c r="I67" i="3"/>
  <c r="I66" i="3" s="1"/>
  <c r="F56" i="3"/>
  <c r="F42" i="3" s="1"/>
  <c r="F41" i="3" s="1"/>
  <c r="I22" i="3"/>
  <c r="I12" i="3" s="1"/>
  <c r="I37" i="3" s="1"/>
  <c r="F24" i="3"/>
  <c r="F22" i="3" s="1"/>
  <c r="H22" i="3" l="1"/>
  <c r="H12" i="3" s="1"/>
  <c r="H37" i="3" s="1"/>
  <c r="F19" i="3"/>
  <c r="F13" i="3"/>
  <c r="F37" i="3" s="1"/>
  <c r="I11" i="3" l="1"/>
  <c r="H11" i="3"/>
  <c r="F11" i="3" l="1"/>
</calcChain>
</file>

<file path=xl/sharedStrings.xml><?xml version="1.0" encoding="utf-8"?>
<sst xmlns="http://schemas.openxmlformats.org/spreadsheetml/2006/main" count="398" uniqueCount="182">
  <si>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</si>
  <si>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</si>
  <si>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</si>
  <si>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</si>
  <si>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</si>
  <si>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</si>
  <si>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</si>
  <si>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</si>
  <si>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</si>
  <si>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</si>
  <si>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</si>
  <si>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</si>
  <si>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</si>
  <si>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</si>
  <si>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</si>
  <si>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</si>
  <si>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</si>
  <si>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</si>
  <si>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</si>
  <si>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</si>
  <si>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</si>
  <si>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</si>
  <si>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</si>
  <si>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</si>
  <si>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</si>
  <si>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</si>
  <si>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</si>
  <si>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</si>
  <si>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</si>
  <si>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</si>
  <si>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</si>
  <si>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</si>
  <si>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</si>
  <si>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</si>
  <si>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</si>
  <si>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</si>
  <si>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</si>
  <si>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</si>
  <si>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Ostale pomoći - Ministarstvo</t>
  </si>
  <si>
    <t>Ostale pomoći - JLS (općine)</t>
  </si>
  <si>
    <t>Prihodi od upravnih i administrativnih pristojbi, pristojbi po posebnim propisima i naknada</t>
  </si>
  <si>
    <t>Prihodi od prodaje proizvoda i robe te pruženih usluga i prihodi od donacija</t>
  </si>
  <si>
    <t>Donacije</t>
  </si>
  <si>
    <t>Prihodi za posebne namjene</t>
  </si>
  <si>
    <t>Decentralizacija</t>
  </si>
  <si>
    <t>Vlastiti izvori</t>
  </si>
  <si>
    <t>Rezultat poslovanja</t>
  </si>
  <si>
    <t>Opći prihodi i primici - izvorna sredstva KZŽ</t>
  </si>
  <si>
    <t>Posebne namjene</t>
  </si>
  <si>
    <t>Ostale pomoći - JLS (Općine)</t>
  </si>
  <si>
    <t>Financijski rashodi</t>
  </si>
  <si>
    <t>Naknade građanima i kućanstvimana temelju osiguranja i dr. naknade</t>
  </si>
  <si>
    <t>opći prihodi i primici</t>
  </si>
  <si>
    <t>Višak - posebne namjene</t>
  </si>
  <si>
    <t>09 Obrazovanje</t>
  </si>
  <si>
    <t>091 Predškolsko i osnovno obrazovanje</t>
  </si>
  <si>
    <t>SVEUKUPNI PRIHOD ( 6 I 7)</t>
  </si>
  <si>
    <t>Višak -JLS</t>
  </si>
  <si>
    <t>UKUPNO:</t>
  </si>
  <si>
    <t>096 Dodatne usluge u obrazovaju</t>
  </si>
  <si>
    <t>PROGRAM J01</t>
  </si>
  <si>
    <t>OBRAZOVANJE</t>
  </si>
  <si>
    <t>Redovni poslovi ustanova osnovnog obrazovanja</t>
  </si>
  <si>
    <t>PRIHODI UKUPNO + VIŠAK</t>
  </si>
  <si>
    <t>5.2</t>
  </si>
  <si>
    <t>5.4</t>
  </si>
  <si>
    <t>4.3</t>
  </si>
  <si>
    <t>3.1</t>
  </si>
  <si>
    <t>1.1</t>
  </si>
  <si>
    <t>1.3</t>
  </si>
  <si>
    <t>PROGRAM 1000</t>
  </si>
  <si>
    <t>OSNOVNO OBRAZOVANJE - ZAKONSKI STANDARD</t>
  </si>
  <si>
    <t>Aktivnost A102000</t>
  </si>
  <si>
    <t>Izvor financiranja 1.3.</t>
  </si>
  <si>
    <t>Aktivnost T103000</t>
  </si>
  <si>
    <t>Oprema, informat., nabava pomagala OŠ</t>
  </si>
  <si>
    <t>PROGRAM 1003</t>
  </si>
  <si>
    <t>DOPUNSKI NASTAVNI I VANNASTAVNI PROGRAM ŠKOLA I OBRAZ.INSTIT.</t>
  </si>
  <si>
    <t>Izvor financiranja 1.1.</t>
  </si>
  <si>
    <t>Aktivnost A102006</t>
  </si>
  <si>
    <t>Program Građanskog odgoja u školi</t>
  </si>
  <si>
    <t>Dopunska sred. za mat. rashode i opremu škole  e-Tehničar</t>
  </si>
  <si>
    <t>Aktivnost T103017</t>
  </si>
  <si>
    <t>Projekt Baltazar</t>
  </si>
  <si>
    <t xml:space="preserve">Rashodi za zaposlene </t>
  </si>
  <si>
    <t>Aktivnost T103018</t>
  </si>
  <si>
    <t>Projekt Zalogajček</t>
  </si>
  <si>
    <t>Aktivnost T103019</t>
  </si>
  <si>
    <t>Projekt Školska shema</t>
  </si>
  <si>
    <t>Aktivnost A102001</t>
  </si>
  <si>
    <t>Financiranje - ostali rashodi OŠ</t>
  </si>
  <si>
    <t>Rashod za nabavu nefinancijske imovine</t>
  </si>
  <si>
    <t>Izvor financiranja 3.1.</t>
  </si>
  <si>
    <t>Izvor financiranja 4.3.</t>
  </si>
  <si>
    <t>Izvor financiranja 5.2.</t>
  </si>
  <si>
    <t>Ministarstvo</t>
  </si>
  <si>
    <t xml:space="preserve">Naknade građanima i kućanstvima na temelju osiguranja i druge naknade </t>
  </si>
  <si>
    <t>Izvor financiranja 5.3.</t>
  </si>
  <si>
    <t>Projekt EU</t>
  </si>
  <si>
    <t>Izvor financiranja 5.4.</t>
  </si>
  <si>
    <t>JLS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</si>
  <si>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</si>
  <si>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</si>
  <si>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</si>
  <si>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</si>
  <si>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</si>
  <si>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PRIMICI UKUPNO</t>
  </si>
  <si>
    <t>8 Namjenski primici od zaduživanja</t>
  </si>
  <si>
    <t xml:space="preserve">  81 Namjenski primici od zaduživanja</t>
  </si>
  <si>
    <t>IZDACI UKUPNO</t>
  </si>
  <si>
    <t>Višak - Donacije</t>
  </si>
  <si>
    <t>Višak - Vlastiti prihodi</t>
  </si>
  <si>
    <t xml:space="preserve">  1.1 Opći prihodi i primici</t>
  </si>
  <si>
    <t xml:space="preserve">  1.3 Decentralizacija</t>
  </si>
  <si>
    <t>1. Opći prihodi i primici</t>
  </si>
  <si>
    <t>3. Vlastiti prihodi</t>
  </si>
  <si>
    <t>4. Prihodi za posebne namjene</t>
  </si>
  <si>
    <t xml:space="preserve">  4.3 Ostali prihodi za posebne namjene</t>
  </si>
  <si>
    <t>5. Pomoći</t>
  </si>
  <si>
    <t xml:space="preserve">  5.4  Općina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</si>
  <si>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</si>
  <si>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</si>
  <si>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</si>
  <si>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</si>
  <si>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</si>
  <si>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</si>
  <si>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</si>
  <si>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</si>
  <si>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</si>
  <si>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</si>
  <si>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</si>
  <si>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</si>
  <si>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FInancijski rashodi</t>
  </si>
  <si>
    <t xml:space="preserve">  5.2 Ministarstvo </t>
  </si>
  <si>
    <t xml:space="preserve">  3.1 Vlastiti prihodi PK</t>
  </si>
  <si>
    <t xml:space="preserve">  5.2   Ministarstvo </t>
  </si>
  <si>
    <t>4. Rashodi za posebne namjene</t>
  </si>
  <si>
    <t>3. Vlastiti rashodi</t>
  </si>
  <si>
    <t>Ostali rashodi</t>
  </si>
  <si>
    <t>Rashodi za dodatna ulaganja na nefinancijskoj imovini</t>
  </si>
  <si>
    <t>Projekcija proračuna za 2026.</t>
  </si>
  <si>
    <t>Dopunski nastavni i vannastavni program škola i obraz. instit.</t>
  </si>
  <si>
    <t>DOPUNSKI NASTAVNI I VANNASTAVNI PROGRAM ŠKOLA I OBRAZ. INSTIT.</t>
  </si>
  <si>
    <t>Rashod za nabavu nef. imovine</t>
  </si>
  <si>
    <t>Rashodi za dodatna ulaganja na nef. imovini</t>
  </si>
  <si>
    <t>Izvršenje 2023.*</t>
  </si>
  <si>
    <t>Plan 2024.</t>
  </si>
  <si>
    <t>Projekcija proračuna za 2027.</t>
  </si>
  <si>
    <t>ZA GODINU 2025. I PROJEKCIJE ZA GODINU 2026. I 2027.</t>
  </si>
  <si>
    <t>A1. PRIHODI I RASHODI POSLOVANJA  PREMA EKONOMSKOJ KLASIFIKACIJI</t>
  </si>
  <si>
    <t>A2.PRIHODI I RASHODI POSLOVANJA PREMA IZVORIMA FINANCIRANJA</t>
  </si>
  <si>
    <t>A3. RASHODI PREMA FUNKCIJSKOJ KLASIFIKACIJI</t>
  </si>
  <si>
    <t>B. RAČUN FINANCIRANJA</t>
  </si>
  <si>
    <t>B1. RAČUN FINANCIRANJA PREMA EKONOMSKOJ KLASIFIKACIJI</t>
  </si>
  <si>
    <t>B2. RAČUN FINANCIRANJA PREMA IZVORIMA FINANCIRANJA</t>
  </si>
  <si>
    <t>SVEUKUPNI RASHOD ( 3 i 4)</t>
  </si>
  <si>
    <t>-2550,08</t>
  </si>
  <si>
    <t xml:space="preserve">naknade građanima i kućanstvima na temelju osiguranja i druge naknade </t>
  </si>
  <si>
    <t>manjak - Ministarstvo</t>
  </si>
  <si>
    <t>6.2</t>
  </si>
  <si>
    <t xml:space="preserve">  6.2. Donacija PK</t>
  </si>
  <si>
    <t>6. Donacije</t>
  </si>
  <si>
    <t xml:space="preserve">  6.2 Donacija PK</t>
  </si>
  <si>
    <t>Izvor financiranja 6.2</t>
  </si>
  <si>
    <t>Ministarstvo - KZŽ (5.2.)</t>
  </si>
  <si>
    <t>Ministarstvo -prijenos EU (5.7)</t>
  </si>
  <si>
    <t>PROGRAM 1020</t>
  </si>
  <si>
    <t>Opći prihodi i primici - Izvorna sredstva KZŽ</t>
  </si>
  <si>
    <t>PRORAČUN ZA 2025.</t>
  </si>
  <si>
    <t>PRORAČUN za 2025.</t>
  </si>
  <si>
    <t>KLASA:  400-02/24-01/03</t>
  </si>
  <si>
    <t>URBROJ: 2140-76/03-24-1</t>
  </si>
  <si>
    <t xml:space="preserve">PREDSJEDNICA ŠKOLSKOG </t>
  </si>
  <si>
    <t>ODBORA:</t>
  </si>
  <si>
    <t>Tina Zorko, dipl.uč.</t>
  </si>
  <si>
    <t>RAVNATELJICA:</t>
  </si>
  <si>
    <t>Andrijana Osredečki, mag.prim.educ.</t>
  </si>
  <si>
    <t>5.7.</t>
  </si>
  <si>
    <t>Ministarstvo - prijenos EU</t>
  </si>
  <si>
    <t xml:space="preserve"> FINANCIJSKI PLAN OSNOVNE ŠKOLE ANTUNA MIHANOVIĆA PETROVSKO </t>
  </si>
  <si>
    <t xml:space="preserve">FINANCIJSKI PLAN OSNOVNE ŠKOLE ANTUNA MIHANOVIĆA PETROVSKO </t>
  </si>
  <si>
    <t>Izvor financiranja 5.7.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</si>
</sst>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0" fillId="3" borderId="1" xfId="0" applyFont="1" applyFill="1" applyBorder="1" applyAlignment="1">
      <alignment horizontal="left" vertical="center"/>
    </xf>
    <xf numFmtId="0" fontId="0" fillId="0" borderId="3" xfId="0" applyBorder="1"/>
    <xf numFmtId="0" fontId="10" fillId="5" borderId="3" xfId="0" applyNumberFormat="1" applyFont="1" applyFill="1" applyBorder="1" applyAlignment="1" applyProtection="1">
      <alignment horizontal="left" vertical="center"/>
    </xf>
    <xf numFmtId="0" fontId="10" fillId="5" borderId="3" xfId="0" applyNumberFormat="1" applyFont="1" applyFill="1" applyBorder="1" applyAlignment="1" applyProtection="1">
      <alignment vertical="center" wrapText="1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 applyProtection="1">
      <alignment vertical="center" wrapText="1"/>
    </xf>
    <xf numFmtId="2" fontId="0" fillId="0" borderId="0" xfId="0" applyNumberFormat="1"/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vertical="center" wrapText="1"/>
    </xf>
    <xf numFmtId="0" fontId="20" fillId="2" borderId="3" xfId="0" applyFont="1" applyFill="1" applyBorder="1" applyAlignment="1">
      <alignment horizontal="left" vertical="center"/>
    </xf>
    <xf numFmtId="4" fontId="0" fillId="0" borderId="3" xfId="0" applyNumberFormat="1" applyBorder="1"/>
    <xf numFmtId="4" fontId="19" fillId="0" borderId="3" xfId="0" applyNumberFormat="1" applyFont="1" applyBorder="1"/>
    <xf numFmtId="4" fontId="1" fillId="0" borderId="3" xfId="0" applyNumberFormat="1" applyFont="1" applyBorder="1"/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6" fillId="6" borderId="3" xfId="0" applyNumberFormat="1" applyFont="1" applyFill="1" applyBorder="1" applyAlignment="1">
      <alignment horizontal="right"/>
    </xf>
    <xf numFmtId="0" fontId="8" fillId="7" borderId="3" xfId="0" applyNumberFormat="1" applyFont="1" applyFill="1" applyBorder="1" applyAlignment="1" applyProtection="1">
      <alignment horizontal="left" vertical="center" wrapText="1"/>
    </xf>
    <xf numFmtId="4" fontId="3" fillId="7" borderId="3" xfId="0" applyNumberFormat="1" applyFont="1" applyFill="1" applyBorder="1" applyAlignment="1">
      <alignment horizontal="right"/>
    </xf>
    <xf numFmtId="0" fontId="10" fillId="6" borderId="3" xfId="0" applyNumberFormat="1" applyFont="1" applyFill="1" applyBorder="1" applyAlignment="1" applyProtection="1">
      <alignment horizontal="left" vertical="center" wrapText="1"/>
    </xf>
    <xf numFmtId="0" fontId="8" fillId="7" borderId="3" xfId="0" quotePrefix="1" applyFont="1" applyFill="1" applyBorder="1" applyAlignment="1">
      <alignment horizontal="left" vertical="center"/>
    </xf>
    <xf numFmtId="0" fontId="9" fillId="7" borderId="3" xfId="0" quotePrefix="1" applyFont="1" applyFill="1" applyBorder="1" applyAlignment="1">
      <alignment horizontal="left" vertical="center"/>
    </xf>
    <xf numFmtId="0" fontId="9" fillId="7" borderId="3" xfId="0" quotePrefix="1" applyFont="1" applyFill="1" applyBorder="1" applyAlignment="1">
      <alignment horizontal="left" vertical="center" wrapText="1"/>
    </xf>
    <xf numFmtId="0" fontId="8" fillId="6" borderId="3" xfId="0" applyNumberFormat="1" applyFont="1" applyFill="1" applyBorder="1" applyAlignment="1" applyProtection="1">
      <alignment horizontal="left" vertical="center" wrapText="1"/>
    </xf>
    <xf numFmtId="0" fontId="10" fillId="6" borderId="3" xfId="0" applyNumberFormat="1" applyFont="1" applyFill="1" applyBorder="1" applyAlignment="1" applyProtection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0" fontId="10" fillId="6" borderId="3" xfId="0" applyNumberFormat="1" applyFont="1" applyFill="1" applyBorder="1" applyAlignment="1" applyProtection="1">
      <alignment horizontal="left" vertical="center"/>
    </xf>
    <xf numFmtId="0" fontId="8" fillId="7" borderId="3" xfId="0" quotePrefix="1" applyFont="1" applyFill="1" applyBorder="1" applyAlignment="1">
      <alignment horizontal="left" vertical="center" wrapText="1"/>
    </xf>
    <xf numFmtId="0" fontId="8" fillId="7" borderId="3" xfId="0" applyNumberFormat="1" applyFont="1" applyFill="1" applyBorder="1" applyAlignment="1" applyProtection="1">
      <alignment vertical="center" wrapText="1"/>
    </xf>
    <xf numFmtId="16" fontId="9" fillId="2" borderId="3" xfId="0" quotePrefix="1" applyNumberFormat="1" applyFont="1" applyFill="1" applyBorder="1" applyAlignment="1">
      <alignment horizontal="left" vertical="center"/>
    </xf>
    <xf numFmtId="0" fontId="9" fillId="2" borderId="3" xfId="0" quotePrefix="1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3" fontId="3" fillId="2" borderId="4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8" fillId="7" borderId="3" xfId="0" applyNumberFormat="1" applyFont="1" applyFill="1" applyBorder="1" applyAlignment="1" applyProtection="1">
      <alignment horizontal="right" vertical="center" wrapText="1"/>
    </xf>
    <xf numFmtId="4" fontId="8" fillId="2" borderId="3" xfId="0" applyNumberFormat="1" applyFont="1" applyFill="1" applyBorder="1" applyAlignment="1" applyProtection="1">
      <alignment horizontal="right" vertical="center" wrapText="1"/>
    </xf>
    <xf numFmtId="4" fontId="10" fillId="6" borderId="3" xfId="0" applyNumberFormat="1" applyFont="1" applyFill="1" applyBorder="1" applyAlignment="1" applyProtection="1">
      <alignment horizontal="right" vertical="center" wrapText="1"/>
    </xf>
    <xf numFmtId="4" fontId="8" fillId="2" borderId="3" xfId="0" quotePrefix="1" applyNumberFormat="1" applyFont="1" applyFill="1" applyBorder="1" applyAlignment="1">
      <alignment horizontal="right" vertical="center"/>
    </xf>
    <xf numFmtId="4" fontId="8" fillId="7" borderId="3" xfId="0" applyNumberFormat="1" applyFont="1" applyFill="1" applyBorder="1" applyAlignment="1" applyProtection="1">
      <alignment vertical="center" wrapText="1"/>
    </xf>
    <xf numFmtId="4" fontId="8" fillId="2" borderId="3" xfId="0" quotePrefix="1" applyNumberFormat="1" applyFont="1" applyFill="1" applyBorder="1" applyAlignment="1">
      <alignment vertical="center"/>
    </xf>
    <xf numFmtId="4" fontId="10" fillId="5" borderId="3" xfId="0" applyNumberFormat="1" applyFont="1" applyFill="1" applyBorder="1" applyAlignment="1" applyProtection="1">
      <alignment vertical="center" wrapText="1"/>
    </xf>
    <xf numFmtId="4" fontId="8" fillId="2" borderId="3" xfId="0" applyNumberFormat="1" applyFont="1" applyFill="1" applyBorder="1" applyAlignment="1" applyProtection="1">
      <alignment vertical="center" wrapText="1"/>
    </xf>
    <xf numFmtId="4" fontId="10" fillId="6" borderId="3" xfId="0" applyNumberFormat="1" applyFont="1" applyFill="1" applyBorder="1" applyAlignment="1" applyProtection="1">
      <alignment vertical="center" wrapText="1"/>
    </xf>
    <xf numFmtId="4" fontId="3" fillId="7" borderId="3" xfId="0" applyNumberFormat="1" applyFont="1" applyFill="1" applyBorder="1" applyAlignment="1">
      <alignment vertical="center"/>
    </xf>
    <xf numFmtId="4" fontId="18" fillId="2" borderId="3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4" fontId="3" fillId="5" borderId="3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 applyProtection="1">
      <alignment vertical="center" wrapText="1"/>
    </xf>
    <xf numFmtId="4" fontId="1" fillId="0" borderId="3" xfId="0" applyNumberFormat="1" applyFont="1" applyBorder="1" applyAlignment="1">
      <alignment vertical="center"/>
    </xf>
    <xf numFmtId="4" fontId="6" fillId="2" borderId="3" xfId="0" applyNumberFormat="1" applyFont="1" applyFill="1" applyBorder="1" applyAlignment="1">
      <alignment vertical="center"/>
    </xf>
    <xf numFmtId="4" fontId="8" fillId="7" borderId="3" xfId="0" quotePrefix="1" applyNumberFormat="1" applyFont="1" applyFill="1" applyBorder="1" applyAlignment="1">
      <alignment vertical="center" wrapText="1"/>
    </xf>
    <xf numFmtId="4" fontId="8" fillId="2" borderId="3" xfId="0" quotePrefix="1" applyNumberFormat="1" applyFont="1" applyFill="1" applyBorder="1" applyAlignment="1">
      <alignment vertical="center" wrapText="1"/>
    </xf>
    <xf numFmtId="4" fontId="8" fillId="7" borderId="3" xfId="0" quotePrefix="1" applyNumberFormat="1" applyFont="1" applyFill="1" applyBorder="1" applyAlignment="1">
      <alignment horizontal="right" vertical="center"/>
    </xf>
    <xf numFmtId="4" fontId="8" fillId="7" borderId="3" xfId="0" quotePrefix="1" applyNumberFormat="1" applyFont="1" applyFill="1" applyBorder="1" applyAlignment="1">
      <alignment horizontal="right" vertical="center" wrapText="1"/>
    </xf>
    <xf numFmtId="4" fontId="8" fillId="2" borderId="3" xfId="0" quotePrefix="1" applyNumberFormat="1" applyFont="1" applyFill="1" applyBorder="1" applyAlignment="1">
      <alignment horizontal="right" vertical="center" wrapText="1"/>
    </xf>
    <xf numFmtId="4" fontId="6" fillId="4" borderId="4" xfId="0" applyNumberFormat="1" applyFont="1" applyFill="1" applyBorder="1" applyAlignment="1" applyProtection="1">
      <alignment horizontal="center" vertical="center" wrapText="1"/>
    </xf>
    <xf numFmtId="4" fontId="3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right" vertical="center"/>
    </xf>
    <xf numFmtId="0" fontId="3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wrapText="1"/>
    </xf>
    <xf numFmtId="0" fontId="24" fillId="0" borderId="0" xfId="0" quotePrefix="1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2" fontId="3" fillId="2" borderId="4" xfId="0" applyNumberFormat="1" applyFont="1" applyFill="1" applyBorder="1" applyAlignment="1" applyProtection="1">
      <alignment horizontal="left" vertical="center" wrapText="1"/>
    </xf>
    <xf numFmtId="4" fontId="6" fillId="2" borderId="4" xfId="0" applyNumberFormat="1" applyFont="1" applyFill="1" applyBorder="1" applyAlignment="1" applyProtection="1">
      <alignment horizontal="right" wrapText="1"/>
    </xf>
    <xf numFmtId="4" fontId="17" fillId="2" borderId="4" xfId="0" applyNumberFormat="1" applyFont="1" applyFill="1" applyBorder="1" applyAlignment="1" applyProtection="1">
      <alignment horizontal="right" wrapText="1"/>
    </xf>
    <xf numFmtId="4" fontId="3" fillId="2" borderId="4" xfId="0" applyNumberFormat="1" applyFont="1" applyFill="1" applyBorder="1" applyAlignment="1" applyProtection="1">
      <alignment horizontal="right" wrapText="1"/>
    </xf>
    <xf numFmtId="4" fontId="22" fillId="2" borderId="4" xfId="0" applyNumberFormat="1" applyFont="1" applyFill="1" applyBorder="1" applyAlignment="1" applyProtection="1">
      <alignment horizontal="right" wrapText="1"/>
    </xf>
    <xf numFmtId="4" fontId="3" fillId="7" borderId="3" xfId="0" applyNumberFormat="1" applyFont="1" applyFill="1" applyBorder="1" applyAlignment="1">
      <alignment horizontal="right" vertical="center"/>
    </xf>
    <xf numFmtId="4" fontId="6" fillId="6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18" fillId="2" borderId="3" xfId="0" applyNumberFormat="1" applyFont="1" applyFill="1" applyBorder="1" applyAlignment="1">
      <alignment horizontal="right" vertical="center"/>
    </xf>
    <xf numFmtId="4" fontId="6" fillId="6" borderId="3" xfId="0" applyNumberFormat="1" applyFont="1" applyFill="1" applyBorder="1" applyAlignment="1">
      <alignment vertical="center"/>
    </xf>
    <xf numFmtId="0" fontId="9" fillId="2" borderId="0" xfId="0" quotePrefix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right"/>
    </xf>
    <xf numFmtId="0" fontId="6" fillId="6" borderId="3" xfId="0" applyNumberFormat="1" applyFont="1" applyFill="1" applyBorder="1" applyAlignment="1" applyProtection="1">
      <alignment horizontal="left" vertical="center" wrapText="1"/>
    </xf>
    <xf numFmtId="4" fontId="6" fillId="6" borderId="4" xfId="0" applyNumberFormat="1" applyFont="1" applyFill="1" applyBorder="1" applyAlignment="1" applyProtection="1">
      <alignment vertical="center" wrapText="1"/>
    </xf>
    <xf numFmtId="0" fontId="10" fillId="7" borderId="3" xfId="0" applyNumberFormat="1" applyFont="1" applyFill="1" applyBorder="1" applyAlignment="1" applyProtection="1">
      <alignment vertical="center" wrapText="1"/>
    </xf>
    <xf numFmtId="4" fontId="6" fillId="7" borderId="3" xfId="0" applyNumberFormat="1" applyFont="1" applyFill="1" applyBorder="1" applyAlignment="1" applyProtection="1">
      <alignment horizontal="right" vertical="center" wrapText="1"/>
    </xf>
    <xf numFmtId="4" fontId="6" fillId="7" borderId="3" xfId="0" applyNumberFormat="1" applyFont="1" applyFill="1" applyBorder="1" applyAlignment="1">
      <alignment horizontal="right"/>
    </xf>
    <xf numFmtId="0" fontId="10" fillId="7" borderId="3" xfId="0" applyNumberFormat="1" applyFont="1" applyFill="1" applyBorder="1" applyAlignment="1" applyProtection="1">
      <alignment horizontal="left" vertical="center" wrapText="1"/>
    </xf>
    <xf numFmtId="4" fontId="6" fillId="7" borderId="4" xfId="0" applyNumberFormat="1" applyFont="1" applyFill="1" applyBorder="1" applyAlignment="1">
      <alignment horizontal="right"/>
    </xf>
    <xf numFmtId="0" fontId="6" fillId="7" borderId="3" xfId="0" applyNumberFormat="1" applyFont="1" applyFill="1" applyBorder="1" applyAlignment="1" applyProtection="1">
      <alignment horizontal="left" vertical="center" wrapText="1"/>
    </xf>
    <xf numFmtId="4" fontId="6" fillId="6" borderId="4" xfId="0" applyNumberFormat="1" applyFont="1" applyFill="1" applyBorder="1" applyAlignment="1" applyProtection="1">
      <alignment horizontal="right" wrapText="1"/>
    </xf>
    <xf numFmtId="4" fontId="6" fillId="6" borderId="3" xfId="0" applyNumberFormat="1" applyFont="1" applyFill="1" applyBorder="1" applyAlignment="1" applyProtection="1">
      <alignment horizontal="right" wrapText="1"/>
    </xf>
    <xf numFmtId="4" fontId="6" fillId="6" borderId="3" xfId="0" applyNumberFormat="1" applyFont="1" applyFill="1" applyBorder="1" applyAlignment="1" applyProtection="1">
      <alignment horizontal="center" wrapText="1"/>
    </xf>
    <xf numFmtId="4" fontId="6" fillId="7" borderId="3" xfId="0" applyNumberFormat="1" applyFont="1" applyFill="1" applyBorder="1" applyAlignment="1" applyProtection="1">
      <alignment horizontal="right" wrapText="1"/>
    </xf>
    <xf numFmtId="4" fontId="10" fillId="7" borderId="3" xfId="0" applyNumberFormat="1" applyFont="1" applyFill="1" applyBorder="1" applyAlignment="1" applyProtection="1">
      <alignment horizontal="right" vertical="center" wrapText="1"/>
    </xf>
    <xf numFmtId="0" fontId="21" fillId="3" borderId="4" xfId="0" applyNumberFormat="1" applyFont="1" applyFill="1" applyBorder="1" applyAlignment="1" applyProtection="1">
      <alignment horizontal="left" vertical="center" wrapText="1"/>
    </xf>
    <xf numFmtId="4" fontId="21" fillId="3" borderId="4" xfId="0" applyNumberFormat="1" applyFont="1" applyFill="1" applyBorder="1" applyAlignment="1" applyProtection="1">
      <alignment horizontal="right" wrapText="1"/>
    </xf>
    <xf numFmtId="4" fontId="21" fillId="3" borderId="3" xfId="0" applyNumberFormat="1" applyFont="1" applyFill="1" applyBorder="1" applyAlignment="1">
      <alignment horizontal="right"/>
    </xf>
    <xf numFmtId="0" fontId="21" fillId="6" borderId="4" xfId="0" applyNumberFormat="1" applyFont="1" applyFill="1" applyBorder="1" applyAlignment="1" applyProtection="1">
      <alignment horizontal="left" vertical="center" wrapText="1"/>
    </xf>
    <xf numFmtId="4" fontId="21" fillId="6" borderId="4" xfId="0" applyNumberFormat="1" applyFont="1" applyFill="1" applyBorder="1" applyAlignment="1" applyProtection="1">
      <alignment horizontal="right" wrapText="1"/>
    </xf>
    <xf numFmtId="4" fontId="21" fillId="6" borderId="3" xfId="0" applyNumberFormat="1" applyFont="1" applyFill="1" applyBorder="1" applyAlignment="1">
      <alignment horizontal="right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4" fontId="6" fillId="7" borderId="4" xfId="0" applyNumberFormat="1" applyFont="1" applyFill="1" applyBorder="1" applyAlignment="1" applyProtection="1">
      <alignment horizontal="right" wrapText="1"/>
    </xf>
    <xf numFmtId="0" fontId="21" fillId="7" borderId="4" xfId="0" applyNumberFormat="1" applyFont="1" applyFill="1" applyBorder="1" applyAlignment="1" applyProtection="1">
      <alignment horizontal="left" vertical="center" wrapText="1"/>
    </xf>
    <xf numFmtId="4" fontId="21" fillId="7" borderId="4" xfId="0" applyNumberFormat="1" applyFont="1" applyFill="1" applyBorder="1" applyAlignment="1" applyProtection="1">
      <alignment horizontal="right" wrapText="1"/>
    </xf>
    <xf numFmtId="4" fontId="21" fillId="7" borderId="3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" fillId="0" borderId="0" xfId="0" applyFont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10" fillId="4" borderId="1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 applyProtection="1">
      <alignment horizontal="right" wrapText="1"/>
    </xf>
    <xf numFmtId="4" fontId="10" fillId="2" borderId="1" xfId="0" quotePrefix="1" applyNumberFormat="1" applyFont="1" applyFill="1" applyBorder="1" applyAlignment="1">
      <alignment horizontal="right"/>
    </xf>
    <xf numFmtId="4" fontId="10" fillId="2" borderId="3" xfId="0" quotePrefix="1" applyNumberFormat="1" applyFont="1" applyFill="1" applyBorder="1" applyAlignment="1">
      <alignment horizontal="right"/>
    </xf>
    <xf numFmtId="4" fontId="10" fillId="3" borderId="1" xfId="0" quotePrefix="1" applyNumberFormat="1" applyFont="1" applyFill="1" applyBorder="1" applyAlignment="1">
      <alignment horizontal="right"/>
    </xf>
    <xf numFmtId="4" fontId="10" fillId="3" borderId="3" xfId="0" quotePrefix="1" applyNumberFormat="1" applyFont="1" applyFill="1" applyBorder="1" applyAlignment="1">
      <alignment horizontal="right"/>
    </xf>
    <xf numFmtId="4" fontId="10" fillId="2" borderId="3" xfId="0" applyNumberFormat="1" applyFont="1" applyFill="1" applyBorder="1" applyAlignment="1" applyProtection="1">
      <alignment horizontal="right" wrapText="1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 applyProtection="1">
      <alignment horizontal="right" vertical="center" wrapText="1"/>
    </xf>
    <xf numFmtId="4" fontId="3" fillId="2" borderId="3" xfId="0" quotePrefix="1" applyNumberFormat="1" applyFont="1" applyFill="1" applyBorder="1" applyAlignment="1">
      <alignment horizontal="right" vertical="center"/>
    </xf>
    <xf numFmtId="2" fontId="3" fillId="2" borderId="3" xfId="0" applyNumberFormat="1" applyFont="1" applyFill="1" applyBorder="1" applyAlignment="1">
      <alignment horizontal="right"/>
    </xf>
    <xf numFmtId="2" fontId="17" fillId="2" borderId="3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>
      <alignment horizontal="right"/>
    </xf>
    <xf numFmtId="2" fontId="10" fillId="2" borderId="3" xfId="0" applyNumberFormat="1" applyFont="1" applyFill="1" applyBorder="1" applyAlignment="1" applyProtection="1">
      <alignment horizontal="right" wrapText="1"/>
    </xf>
    <xf numFmtId="2" fontId="8" fillId="2" borderId="3" xfId="0" applyNumberFormat="1" applyFont="1" applyFill="1" applyBorder="1" applyAlignment="1" applyProtection="1">
      <alignment horizontal="right" wrapText="1"/>
    </xf>
    <xf numFmtId="2" fontId="9" fillId="2" borderId="3" xfId="0" quotePrefix="1" applyNumberFormat="1" applyFont="1" applyFill="1" applyBorder="1" applyAlignment="1">
      <alignment horizontal="right" wrapText="1"/>
    </xf>
    <xf numFmtId="2" fontId="10" fillId="6" borderId="3" xfId="0" applyNumberFormat="1" applyFont="1" applyFill="1" applyBorder="1" applyAlignment="1" applyProtection="1">
      <alignment horizontal="right" wrapText="1"/>
    </xf>
    <xf numFmtId="2" fontId="6" fillId="6" borderId="3" xfId="0" applyNumberFormat="1" applyFont="1" applyFill="1" applyBorder="1" applyAlignment="1">
      <alignment horizontal="right"/>
    </xf>
    <xf numFmtId="0" fontId="10" fillId="7" borderId="3" xfId="0" applyFont="1" applyFill="1" applyBorder="1" applyAlignment="1">
      <alignment horizontal="left" vertical="center"/>
    </xf>
    <xf numFmtId="0" fontId="10" fillId="7" borderId="3" xfId="0" applyNumberFormat="1" applyFont="1" applyFill="1" applyBorder="1" applyAlignment="1" applyProtection="1">
      <alignment horizontal="left" vertical="center"/>
    </xf>
    <xf numFmtId="2" fontId="10" fillId="7" borderId="3" xfId="0" applyNumberFormat="1" applyFont="1" applyFill="1" applyBorder="1" applyAlignment="1" applyProtection="1">
      <alignment horizontal="right" wrapText="1"/>
    </xf>
    <xf numFmtId="2" fontId="6" fillId="7" borderId="3" xfId="0" applyNumberFormat="1" applyFont="1" applyFill="1" applyBorder="1" applyAlignment="1">
      <alignment horizontal="right"/>
    </xf>
    <xf numFmtId="0" fontId="27" fillId="0" borderId="0" xfId="0" applyFont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10" fillId="2" borderId="2" xfId="0" applyNumberFormat="1" applyFont="1" applyFill="1" applyBorder="1" applyAlignment="1" applyProtection="1">
      <alignment horizontal="left" vertical="center" wrapText="1"/>
    </xf>
    <xf numFmtId="0" fontId="10" fillId="2" borderId="4" xfId="0" applyNumberFormat="1" applyFont="1" applyFill="1" applyBorder="1" applyAlignment="1" applyProtection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10" fillId="2" borderId="1" xfId="0" quotePrefix="1" applyNumberFormat="1" applyFont="1" applyFill="1" applyBorder="1" applyAlignment="1" applyProtection="1">
      <alignment horizontal="left" vertical="center" wrapText="1"/>
    </xf>
    <xf numFmtId="0" fontId="8" fillId="2" borderId="2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28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2" fillId="2" borderId="1" xfId="0" applyNumberFormat="1" applyFont="1" applyFill="1" applyBorder="1" applyAlignment="1" applyProtection="1">
      <alignment horizontal="left" vertical="center" wrapText="1"/>
    </xf>
    <xf numFmtId="0" fontId="22" fillId="2" borderId="2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21" fillId="3" borderId="1" xfId="0" applyNumberFormat="1" applyFont="1" applyFill="1" applyBorder="1" applyAlignment="1" applyProtection="1">
      <alignment horizontal="left" vertical="center" wrapText="1"/>
    </xf>
    <xf numFmtId="0" fontId="21" fillId="3" borderId="2" xfId="0" applyNumberFormat="1" applyFont="1" applyFill="1" applyBorder="1" applyAlignment="1" applyProtection="1">
      <alignment horizontal="left" vertical="center" wrapText="1"/>
    </xf>
    <xf numFmtId="0" fontId="21" fillId="3" borderId="4" xfId="0" applyNumberFormat="1" applyFont="1" applyFill="1" applyBorder="1" applyAlignment="1" applyProtection="1">
      <alignment horizontal="left" vertical="center" wrapText="1"/>
    </xf>
    <xf numFmtId="0" fontId="21" fillId="7" borderId="1" xfId="0" applyNumberFormat="1" applyFont="1" applyFill="1" applyBorder="1" applyAlignment="1" applyProtection="1">
      <alignment horizontal="left" vertical="center" wrapText="1"/>
    </xf>
    <xf numFmtId="0" fontId="21" fillId="7" borderId="2" xfId="0" applyNumberFormat="1" applyFont="1" applyFill="1" applyBorder="1" applyAlignment="1" applyProtection="1">
      <alignment horizontal="left" vertical="center" wrapText="1"/>
    </xf>
    <xf numFmtId="0" fontId="21" fillId="7" borderId="4" xfId="0" applyNumberFormat="1" applyFont="1" applyFill="1" applyBorder="1" applyAlignment="1" applyProtection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1" fillId="6" borderId="1" xfId="0" applyNumberFormat="1" applyFont="1" applyFill="1" applyBorder="1" applyAlignment="1" applyProtection="1">
      <alignment horizontal="left" vertical="center" wrapText="1"/>
    </xf>
    <xf numFmtId="0" fontId="21" fillId="6" borderId="2" xfId="0" applyNumberFormat="1" applyFont="1" applyFill="1" applyBorder="1" applyAlignment="1" applyProtection="1">
      <alignment horizontal="left" vertical="center" wrapText="1"/>
    </xf>
    <xf numFmtId="0" fontId="21" fillId="6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zoomScale="80" zoomScaleNormal="80" workbookViewId="0">
      <selection activeCell="M12" sqref="M12"/>
    </sheetView>
  </sheetViews>
  <sheetFormatPr defaultRowHeight="15" x14ac:dyDescent="0.25"/>
  <cols>
    <col min="5" max="6" width="17.28515625" customWidth="1"/>
    <col min="7" max="7" width="19" style="32" customWidth="1"/>
    <col min="8" max="8" width="21.42578125" style="32" customWidth="1"/>
    <col min="9" max="9" width="19.85546875" style="32" customWidth="1"/>
    <col min="10" max="10" width="20.28515625" style="32" customWidth="1"/>
    <col min="13" max="13" width="13.28515625" customWidth="1"/>
  </cols>
  <sheetData>
    <row r="1" spans="1:10" ht="18" x14ac:dyDescent="0.25">
      <c r="A1" s="207" t="s">
        <v>179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ht="18" x14ac:dyDescent="0.25">
      <c r="A2" s="207" t="s">
        <v>148</v>
      </c>
      <c r="B2" s="207"/>
      <c r="C2" s="207"/>
      <c r="D2" s="207"/>
      <c r="E2" s="207"/>
      <c r="F2" s="207"/>
      <c r="G2" s="207"/>
      <c r="H2" s="207"/>
      <c r="I2" s="207"/>
      <c r="J2" s="207"/>
    </row>
    <row r="3" spans="1:10" ht="18" x14ac:dyDescent="0.25">
      <c r="A3" s="149"/>
      <c r="B3" s="149"/>
      <c r="C3" s="149"/>
      <c r="D3" s="149"/>
      <c r="E3" s="149"/>
      <c r="F3" s="149"/>
      <c r="G3" s="149"/>
      <c r="H3" s="149"/>
      <c r="I3" s="149"/>
      <c r="J3" s="149"/>
    </row>
    <row r="4" spans="1:10" ht="15.75" x14ac:dyDescent="0.25">
      <c r="A4" s="189" t="s">
        <v>23</v>
      </c>
      <c r="B4" s="189"/>
      <c r="C4" s="189"/>
      <c r="D4" s="189"/>
      <c r="E4" s="189"/>
      <c r="F4" s="189"/>
      <c r="G4" s="189"/>
      <c r="H4" s="189"/>
      <c r="I4" s="210"/>
      <c r="J4" s="210"/>
    </row>
    <row r="5" spans="1:10" ht="18" customHeight="1" x14ac:dyDescent="0.25">
      <c r="A5" s="212" t="s">
        <v>170</v>
      </c>
      <c r="B5" s="212"/>
      <c r="C5" s="212"/>
      <c r="D5" s="212"/>
      <c r="E5" s="212"/>
      <c r="F5" s="18"/>
      <c r="G5" s="18"/>
      <c r="H5" s="18"/>
      <c r="I5" s="4"/>
      <c r="J5" s="4"/>
    </row>
    <row r="6" spans="1:10" ht="16.5" customHeight="1" x14ac:dyDescent="0.25">
      <c r="A6" s="212" t="s">
        <v>171</v>
      </c>
      <c r="B6" s="212"/>
      <c r="C6" s="212"/>
      <c r="D6" s="212"/>
      <c r="E6" s="212"/>
      <c r="F6" s="18"/>
      <c r="G6" s="18"/>
      <c r="I6" s="4"/>
      <c r="J6" s="4"/>
    </row>
    <row r="7" spans="1:10" ht="15.75" x14ac:dyDescent="0.25">
      <c r="A7" s="189" t="s">
        <v>31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0" ht="18" x14ac:dyDescent="0.25">
      <c r="A8" s="1"/>
      <c r="B8" s="2"/>
      <c r="C8" s="2"/>
      <c r="D8" s="2"/>
      <c r="E8" s="5"/>
      <c r="F8" s="99"/>
      <c r="G8" s="99"/>
      <c r="H8" s="99"/>
      <c r="I8" s="99"/>
      <c r="J8" s="100"/>
    </row>
    <row r="9" spans="1:10" ht="35.25" customHeight="1" x14ac:dyDescent="0.25">
      <c r="A9" s="22"/>
      <c r="B9" s="23"/>
      <c r="C9" s="23"/>
      <c r="D9" s="24"/>
      <c r="E9" s="25"/>
      <c r="F9" s="15" t="s">
        <v>145</v>
      </c>
      <c r="G9" s="15" t="s">
        <v>146</v>
      </c>
      <c r="H9" s="15" t="s">
        <v>168</v>
      </c>
      <c r="I9" s="15" t="s">
        <v>140</v>
      </c>
      <c r="J9" s="15" t="s">
        <v>147</v>
      </c>
    </row>
    <row r="10" spans="1:10" x14ac:dyDescent="0.25">
      <c r="A10" s="202" t="s">
        <v>0</v>
      </c>
      <c r="B10" s="194"/>
      <c r="C10" s="194"/>
      <c r="D10" s="194"/>
      <c r="E10" s="211"/>
      <c r="F10" s="153">
        <f>F11+F12</f>
        <v>848917.07</v>
      </c>
      <c r="G10" s="153">
        <f t="shared" ref="G10:J10" si="0">G11+G12</f>
        <v>1031252.02</v>
      </c>
      <c r="H10" s="153">
        <f t="shared" si="0"/>
        <v>1262624.29</v>
      </c>
      <c r="I10" s="153">
        <f t="shared" si="0"/>
        <v>1136449.29</v>
      </c>
      <c r="J10" s="153">
        <f t="shared" si="0"/>
        <v>1133076.98</v>
      </c>
    </row>
    <row r="11" spans="1:10" x14ac:dyDescent="0.25">
      <c r="A11" s="208" t="s">
        <v>120</v>
      </c>
      <c r="B11" s="206"/>
      <c r="C11" s="206"/>
      <c r="D11" s="206"/>
      <c r="E11" s="188"/>
      <c r="F11" s="154">
        <v>848917.07</v>
      </c>
      <c r="G11" s="154">
        <v>1031252.02</v>
      </c>
      <c r="H11" s="154">
        <v>1262624.29</v>
      </c>
      <c r="I11" s="154">
        <v>1136449.29</v>
      </c>
      <c r="J11" s="154">
        <v>1133076.98</v>
      </c>
    </row>
    <row r="12" spans="1:10" x14ac:dyDescent="0.25">
      <c r="A12" s="209" t="s">
        <v>121</v>
      </c>
      <c r="B12" s="188"/>
      <c r="C12" s="188"/>
      <c r="D12" s="188"/>
      <c r="E12" s="188"/>
      <c r="F12" s="154">
        <v>0</v>
      </c>
      <c r="G12" s="154">
        <v>0</v>
      </c>
      <c r="H12" s="154">
        <v>0</v>
      </c>
      <c r="I12" s="154">
        <v>0</v>
      </c>
      <c r="J12" s="154">
        <v>0</v>
      </c>
    </row>
    <row r="13" spans="1:10" x14ac:dyDescent="0.25">
      <c r="A13" s="26" t="s">
        <v>1</v>
      </c>
      <c r="B13" s="70"/>
      <c r="C13" s="70"/>
      <c r="D13" s="70"/>
      <c r="E13" s="70"/>
      <c r="F13" s="153">
        <f>F14+F15</f>
        <v>847028.32</v>
      </c>
      <c r="G13" s="153">
        <f t="shared" ref="G13:J13" si="1">G14+G15</f>
        <v>1024226.97</v>
      </c>
      <c r="H13" s="153">
        <f>H14+H15</f>
        <v>1260924.29</v>
      </c>
      <c r="I13" s="153">
        <f t="shared" si="1"/>
        <v>1136449.29</v>
      </c>
      <c r="J13" s="153">
        <f t="shared" si="1"/>
        <v>1133076.98</v>
      </c>
    </row>
    <row r="14" spans="1:10" x14ac:dyDescent="0.25">
      <c r="A14" s="205" t="s">
        <v>122</v>
      </c>
      <c r="B14" s="206"/>
      <c r="C14" s="206"/>
      <c r="D14" s="206"/>
      <c r="E14" s="206"/>
      <c r="F14" s="154">
        <f>847028.32-F15</f>
        <v>836351.77999999991</v>
      </c>
      <c r="G14" s="154">
        <v>1017626.97</v>
      </c>
      <c r="H14" s="154">
        <f>1260924.29-131740</f>
        <v>1129184.29</v>
      </c>
      <c r="I14" s="154">
        <f>I11-I15</f>
        <v>1130009.29</v>
      </c>
      <c r="J14" s="155">
        <f>J11-J15</f>
        <v>1126636.98</v>
      </c>
    </row>
    <row r="15" spans="1:10" x14ac:dyDescent="0.25">
      <c r="A15" s="187" t="s">
        <v>123</v>
      </c>
      <c r="B15" s="188"/>
      <c r="C15" s="188"/>
      <c r="D15" s="188"/>
      <c r="E15" s="188"/>
      <c r="F15" s="156">
        <v>10676.54</v>
      </c>
      <c r="G15" s="156">
        <v>6600</v>
      </c>
      <c r="H15" s="156">
        <v>131740</v>
      </c>
      <c r="I15" s="156">
        <v>6440</v>
      </c>
      <c r="J15" s="155">
        <v>6440</v>
      </c>
    </row>
    <row r="16" spans="1:10" x14ac:dyDescent="0.25">
      <c r="A16" s="193" t="s">
        <v>2</v>
      </c>
      <c r="B16" s="194"/>
      <c r="C16" s="194"/>
      <c r="D16" s="194"/>
      <c r="E16" s="194"/>
      <c r="F16" s="153">
        <f>F10-F13</f>
        <v>1888.75</v>
      </c>
      <c r="G16" s="153">
        <f>G10-G13</f>
        <v>7025.0500000000466</v>
      </c>
      <c r="H16" s="153">
        <f t="shared" ref="H16:J16" si="2">H10-H13</f>
        <v>1700</v>
      </c>
      <c r="I16" s="153">
        <f t="shared" si="2"/>
        <v>0</v>
      </c>
      <c r="J16" s="153">
        <f t="shared" si="2"/>
        <v>0</v>
      </c>
    </row>
    <row r="17" spans="1:13" ht="18" x14ac:dyDescent="0.25">
      <c r="A17" s="18"/>
      <c r="B17" s="17"/>
      <c r="C17" s="17"/>
      <c r="D17" s="17"/>
      <c r="E17" s="17"/>
      <c r="F17" s="17"/>
      <c r="G17" s="17"/>
      <c r="H17" s="101"/>
      <c r="I17" s="101"/>
      <c r="J17" s="101"/>
    </row>
    <row r="18" spans="1:13" ht="15.75" x14ac:dyDescent="0.25">
      <c r="A18" s="189" t="s">
        <v>32</v>
      </c>
      <c r="B18" s="190"/>
      <c r="C18" s="190"/>
      <c r="D18" s="190"/>
      <c r="E18" s="190"/>
      <c r="F18" s="190"/>
      <c r="G18" s="190"/>
      <c r="H18" s="190"/>
      <c r="I18" s="190"/>
      <c r="J18" s="190"/>
    </row>
    <row r="19" spans="1:13" ht="18" x14ac:dyDescent="0.25">
      <c r="A19" s="18"/>
      <c r="B19" s="17"/>
      <c r="C19" s="17"/>
      <c r="D19" s="17"/>
      <c r="E19" s="17"/>
      <c r="F19" s="17"/>
      <c r="G19" s="17"/>
      <c r="H19" s="101"/>
      <c r="I19" s="101"/>
      <c r="J19" s="101"/>
      <c r="M19" s="152"/>
    </row>
    <row r="20" spans="1:13" ht="30.75" customHeight="1" x14ac:dyDescent="0.25">
      <c r="A20" s="22"/>
      <c r="B20" s="23"/>
      <c r="C20" s="23"/>
      <c r="D20" s="24"/>
      <c r="E20" s="25"/>
      <c r="F20" s="15" t="s">
        <v>145</v>
      </c>
      <c r="G20" s="15" t="s">
        <v>146</v>
      </c>
      <c r="H20" s="15" t="s">
        <v>168</v>
      </c>
      <c r="I20" s="15" t="s">
        <v>140</v>
      </c>
      <c r="J20" s="15" t="s">
        <v>147</v>
      </c>
    </row>
    <row r="21" spans="1:13" x14ac:dyDescent="0.25">
      <c r="A21" s="187" t="s">
        <v>124</v>
      </c>
      <c r="B21" s="188"/>
      <c r="C21" s="188"/>
      <c r="D21" s="188"/>
      <c r="E21" s="188"/>
      <c r="F21" s="156">
        <v>0</v>
      </c>
      <c r="G21" s="156">
        <v>0</v>
      </c>
      <c r="H21" s="156">
        <v>0</v>
      </c>
      <c r="I21" s="156">
        <v>0</v>
      </c>
      <c r="J21" s="155">
        <v>0</v>
      </c>
    </row>
    <row r="22" spans="1:13" x14ac:dyDescent="0.25">
      <c r="A22" s="187" t="s">
        <v>125</v>
      </c>
      <c r="B22" s="188"/>
      <c r="C22" s="188"/>
      <c r="D22" s="188"/>
      <c r="E22" s="188"/>
      <c r="F22" s="156">
        <v>0</v>
      </c>
      <c r="G22" s="156">
        <v>0</v>
      </c>
      <c r="H22" s="156">
        <v>0</v>
      </c>
      <c r="I22" s="156">
        <v>0</v>
      </c>
      <c r="J22" s="155">
        <v>0</v>
      </c>
    </row>
    <row r="23" spans="1:13" x14ac:dyDescent="0.25">
      <c r="A23" s="193" t="s">
        <v>4</v>
      </c>
      <c r="B23" s="194"/>
      <c r="C23" s="194"/>
      <c r="D23" s="194"/>
      <c r="E23" s="194"/>
      <c r="F23" s="153">
        <f>F21-F22</f>
        <v>0</v>
      </c>
      <c r="G23" s="153">
        <f t="shared" ref="G23:J23" si="3">G21-G22</f>
        <v>0</v>
      </c>
      <c r="H23" s="153">
        <f t="shared" si="3"/>
        <v>0</v>
      </c>
      <c r="I23" s="153">
        <f t="shared" si="3"/>
        <v>0</v>
      </c>
      <c r="J23" s="153">
        <f t="shared" si="3"/>
        <v>0</v>
      </c>
    </row>
    <row r="24" spans="1:13" x14ac:dyDescent="0.25">
      <c r="A24" s="193" t="s">
        <v>5</v>
      </c>
      <c r="B24" s="194"/>
      <c r="C24" s="194"/>
      <c r="D24" s="194"/>
      <c r="E24" s="194"/>
      <c r="F24" s="153">
        <f>F16+F23</f>
        <v>1888.75</v>
      </c>
      <c r="G24" s="153">
        <f>G16+G23</f>
        <v>7025.0500000000466</v>
      </c>
      <c r="H24" s="153">
        <f t="shared" ref="H24:J24" si="4">H16+H23</f>
        <v>1700</v>
      </c>
      <c r="I24" s="153">
        <f t="shared" si="4"/>
        <v>0</v>
      </c>
      <c r="J24" s="153">
        <f t="shared" si="4"/>
        <v>0</v>
      </c>
    </row>
    <row r="25" spans="1:13" ht="18" x14ac:dyDescent="0.25">
      <c r="A25" s="16"/>
      <c r="B25" s="17"/>
      <c r="C25" s="17"/>
      <c r="D25" s="17"/>
      <c r="E25" s="17"/>
      <c r="F25" s="17"/>
      <c r="G25" s="17"/>
      <c r="H25" s="101"/>
      <c r="I25" s="101"/>
      <c r="J25" s="101"/>
    </row>
    <row r="26" spans="1:13" ht="15.75" x14ac:dyDescent="0.25">
      <c r="A26" s="189" t="s">
        <v>126</v>
      </c>
      <c r="B26" s="190"/>
      <c r="C26" s="190"/>
      <c r="D26" s="190"/>
      <c r="E26" s="190"/>
      <c r="F26" s="190"/>
      <c r="G26" s="190"/>
      <c r="H26" s="190"/>
      <c r="I26" s="190"/>
      <c r="J26" s="190"/>
    </row>
    <row r="27" spans="1:13" ht="15.75" x14ac:dyDescent="0.25">
      <c r="A27" s="68"/>
      <c r="B27" s="69"/>
      <c r="C27" s="69"/>
      <c r="D27" s="69"/>
      <c r="E27" s="69"/>
      <c r="F27" s="69"/>
      <c r="G27" s="69"/>
      <c r="H27" s="69"/>
      <c r="I27" s="69"/>
      <c r="J27" s="69"/>
    </row>
    <row r="28" spans="1:13" ht="33" customHeight="1" x14ac:dyDescent="0.25">
      <c r="A28" s="22"/>
      <c r="B28" s="23"/>
      <c r="C28" s="23"/>
      <c r="D28" s="24"/>
      <c r="E28" s="25"/>
      <c r="F28" s="15" t="s">
        <v>145</v>
      </c>
      <c r="G28" s="15" t="s">
        <v>146</v>
      </c>
      <c r="H28" s="15" t="s">
        <v>168</v>
      </c>
      <c r="I28" s="15" t="s">
        <v>140</v>
      </c>
      <c r="J28" s="15" t="s">
        <v>147</v>
      </c>
    </row>
    <row r="29" spans="1:13" x14ac:dyDescent="0.25">
      <c r="A29" s="184" t="s">
        <v>127</v>
      </c>
      <c r="B29" s="185"/>
      <c r="C29" s="185"/>
      <c r="D29" s="185"/>
      <c r="E29" s="186"/>
      <c r="F29" s="157">
        <v>15812.84</v>
      </c>
      <c r="G29" s="157">
        <v>7025.05</v>
      </c>
      <c r="H29" s="157">
        <v>4700</v>
      </c>
      <c r="I29" s="157">
        <v>0</v>
      </c>
      <c r="J29" s="158">
        <v>0</v>
      </c>
    </row>
    <row r="30" spans="1:13" x14ac:dyDescent="0.25">
      <c r="A30" s="200" t="s">
        <v>128</v>
      </c>
      <c r="B30" s="201"/>
      <c r="C30" s="201"/>
      <c r="D30" s="201"/>
      <c r="E30" s="201"/>
      <c r="F30" s="159">
        <v>7025.05</v>
      </c>
      <c r="G30" s="159">
        <v>4700</v>
      </c>
      <c r="H30" s="159">
        <v>4700</v>
      </c>
      <c r="I30" s="159">
        <f t="shared" ref="I30:J30" si="5">I24+I29</f>
        <v>0</v>
      </c>
      <c r="J30" s="160">
        <f t="shared" si="5"/>
        <v>0</v>
      </c>
    </row>
    <row r="31" spans="1:13" ht="26.25" customHeight="1" x14ac:dyDescent="0.25">
      <c r="A31" s="202" t="s">
        <v>129</v>
      </c>
      <c r="B31" s="203"/>
      <c r="C31" s="203"/>
      <c r="D31" s="203"/>
      <c r="E31" s="204"/>
      <c r="F31" s="161">
        <f>F16+F23+F29-F30</f>
        <v>10676.54</v>
      </c>
      <c r="G31" s="161">
        <f t="shared" ref="G31:J31" si="6">G16+G23+G29-G30</f>
        <v>9350.1000000000458</v>
      </c>
      <c r="H31" s="161">
        <f t="shared" si="6"/>
        <v>1700</v>
      </c>
      <c r="I31" s="161">
        <f t="shared" si="6"/>
        <v>0</v>
      </c>
      <c r="J31" s="162">
        <f t="shared" si="6"/>
        <v>0</v>
      </c>
    </row>
    <row r="32" spans="1:13" ht="15.75" x14ac:dyDescent="0.25">
      <c r="A32" s="102"/>
      <c r="B32" s="103"/>
      <c r="C32" s="103"/>
      <c r="D32" s="103"/>
      <c r="E32" s="103"/>
      <c r="F32" s="103"/>
      <c r="G32" s="103"/>
      <c r="H32" s="103"/>
      <c r="I32" s="103"/>
      <c r="J32" s="103"/>
    </row>
    <row r="33" spans="1:10" ht="15.75" x14ac:dyDescent="0.25">
      <c r="A33" s="183" t="s">
        <v>130</v>
      </c>
      <c r="B33" s="183"/>
      <c r="C33" s="183"/>
      <c r="D33" s="183"/>
      <c r="E33" s="183"/>
      <c r="F33" s="183"/>
      <c r="G33" s="183"/>
      <c r="H33" s="183"/>
      <c r="I33" s="183"/>
      <c r="J33" s="183"/>
    </row>
    <row r="34" spans="1:10" ht="18" x14ac:dyDescent="0.25">
      <c r="A34" s="104"/>
      <c r="B34" s="105"/>
      <c r="C34" s="105"/>
      <c r="D34" s="105"/>
      <c r="E34" s="105"/>
      <c r="F34" s="105"/>
      <c r="G34" s="105"/>
      <c r="H34" s="106"/>
      <c r="I34" s="106"/>
      <c r="J34" s="106"/>
    </row>
    <row r="35" spans="1:10" ht="38.25" customHeight="1" x14ac:dyDescent="0.25">
      <c r="A35" s="107"/>
      <c r="B35" s="108"/>
      <c r="C35" s="108"/>
      <c r="D35" s="109"/>
      <c r="E35" s="110"/>
      <c r="F35" s="15" t="s">
        <v>145</v>
      </c>
      <c r="G35" s="15" t="s">
        <v>146</v>
      </c>
      <c r="H35" s="15" t="s">
        <v>168</v>
      </c>
      <c r="I35" s="15" t="s">
        <v>140</v>
      </c>
      <c r="J35" s="15" t="s">
        <v>147</v>
      </c>
    </row>
    <row r="36" spans="1:10" x14ac:dyDescent="0.25">
      <c r="A36" s="184" t="s">
        <v>127</v>
      </c>
      <c r="B36" s="185"/>
      <c r="C36" s="185"/>
      <c r="D36" s="185"/>
      <c r="E36" s="186"/>
      <c r="F36" s="157">
        <v>15812.84</v>
      </c>
      <c r="G36" s="157">
        <v>7025.05</v>
      </c>
      <c r="H36" s="157">
        <v>7025.05</v>
      </c>
      <c r="I36" s="157">
        <v>0</v>
      </c>
      <c r="J36" s="158">
        <f>I39</f>
        <v>0</v>
      </c>
    </row>
    <row r="37" spans="1:10" ht="27" customHeight="1" x14ac:dyDescent="0.25">
      <c r="A37" s="195" t="s">
        <v>3</v>
      </c>
      <c r="B37" s="196"/>
      <c r="C37" s="196"/>
      <c r="D37" s="196"/>
      <c r="E37" s="197"/>
      <c r="F37" s="159">
        <v>10676.54</v>
      </c>
      <c r="G37" s="159">
        <v>9350.1</v>
      </c>
      <c r="H37" s="159">
        <v>7025.05</v>
      </c>
      <c r="I37" s="159">
        <v>0</v>
      </c>
      <c r="J37" s="163">
        <v>0</v>
      </c>
    </row>
    <row r="38" spans="1:10" x14ac:dyDescent="0.25">
      <c r="A38" s="195" t="s">
        <v>131</v>
      </c>
      <c r="B38" s="198"/>
      <c r="C38" s="198"/>
      <c r="D38" s="198"/>
      <c r="E38" s="199"/>
      <c r="F38" s="159">
        <v>1888.75</v>
      </c>
      <c r="G38" s="159">
        <v>7025.05</v>
      </c>
      <c r="H38" s="159">
        <v>0</v>
      </c>
      <c r="I38" s="159">
        <v>0</v>
      </c>
      <c r="J38" s="163">
        <v>0</v>
      </c>
    </row>
    <row r="39" spans="1:10" x14ac:dyDescent="0.25">
      <c r="A39" s="193" t="s">
        <v>128</v>
      </c>
      <c r="B39" s="194"/>
      <c r="C39" s="194"/>
      <c r="D39" s="194"/>
      <c r="E39" s="194"/>
      <c r="F39" s="164">
        <f>F36-F37+F38</f>
        <v>7025.0499999999993</v>
      </c>
      <c r="G39" s="164">
        <f t="shared" ref="G39:J39" si="7">G36-G37+G38</f>
        <v>4700</v>
      </c>
      <c r="H39" s="164">
        <f>H36-H37+H38</f>
        <v>0</v>
      </c>
      <c r="I39" s="164">
        <f t="shared" si="7"/>
        <v>0</v>
      </c>
      <c r="J39" s="165">
        <f t="shared" si="7"/>
        <v>0</v>
      </c>
    </row>
    <row r="40" spans="1:10" x14ac:dyDescent="0.25">
      <c r="G40"/>
      <c r="H40"/>
      <c r="I40"/>
      <c r="J40"/>
    </row>
    <row r="41" spans="1:10" x14ac:dyDescent="0.25">
      <c r="A41" s="191"/>
      <c r="B41" s="192"/>
      <c r="C41" s="192"/>
      <c r="D41" s="192"/>
      <c r="E41" s="192"/>
      <c r="F41" s="192"/>
      <c r="G41" s="192"/>
      <c r="H41" s="192"/>
      <c r="I41" s="192"/>
      <c r="J41" s="192"/>
    </row>
    <row r="42" spans="1:10" x14ac:dyDescent="0.25">
      <c r="G42"/>
      <c r="H42"/>
      <c r="I42"/>
      <c r="J42"/>
    </row>
  </sheetData>
  <mergeCells count="27">
    <mergeCell ref="A1:J1"/>
    <mergeCell ref="A11:E11"/>
    <mergeCell ref="A12:E12"/>
    <mergeCell ref="A4:J4"/>
    <mergeCell ref="A7:J7"/>
    <mergeCell ref="A10:E10"/>
    <mergeCell ref="A2:J2"/>
    <mergeCell ref="A5:E5"/>
    <mergeCell ref="A6:E6"/>
    <mergeCell ref="A15:E15"/>
    <mergeCell ref="A14:E14"/>
    <mergeCell ref="A18:J18"/>
    <mergeCell ref="A22:E22"/>
    <mergeCell ref="A23:E23"/>
    <mergeCell ref="A16:E16"/>
    <mergeCell ref="A33:J33"/>
    <mergeCell ref="A36:E36"/>
    <mergeCell ref="A21:E21"/>
    <mergeCell ref="A26:J26"/>
    <mergeCell ref="A41:J41"/>
    <mergeCell ref="A24:E24"/>
    <mergeCell ref="A39:E39"/>
    <mergeCell ref="A29:E29"/>
    <mergeCell ref="A37:E37"/>
    <mergeCell ref="A38:E38"/>
    <mergeCell ref="A30:E30"/>
    <mergeCell ref="A31:E31"/>
  </mergeCells>
  <pageMargins left="0.25" right="0.25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4"/>
  <sheetViews>
    <sheetView tabSelected="1" topLeftCell="A11" zoomScale="110" zoomScaleNormal="110" workbookViewId="0">
      <selection activeCell="A4" sqref="A4:I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6" customWidth="1"/>
    <col min="4" max="4" width="34.28515625" customWidth="1"/>
    <col min="5" max="5" width="21.140625" customWidth="1"/>
    <col min="6" max="6" width="20.140625" style="32" customWidth="1"/>
    <col min="7" max="7" width="22.42578125" style="32" customWidth="1"/>
    <col min="8" max="8" width="18.7109375" style="32" customWidth="1"/>
    <col min="9" max="9" width="17.85546875" style="32" customWidth="1"/>
  </cols>
  <sheetData>
    <row r="1" spans="1:9" ht="25.5" customHeight="1" x14ac:dyDescent="0.25">
      <c r="A1" s="189" t="s">
        <v>180</v>
      </c>
      <c r="B1" s="189"/>
      <c r="C1" s="189"/>
      <c r="D1" s="189"/>
      <c r="E1" s="189"/>
      <c r="F1" s="189"/>
      <c r="G1" s="189"/>
      <c r="H1" s="189"/>
      <c r="I1" s="189"/>
    </row>
    <row r="2" spans="1:9" ht="18" customHeight="1" x14ac:dyDescent="0.25">
      <c r="A2" s="189" t="s">
        <v>148</v>
      </c>
      <c r="B2" s="189"/>
      <c r="C2" s="189"/>
      <c r="D2" s="189"/>
      <c r="E2" s="189"/>
      <c r="F2" s="189"/>
      <c r="G2" s="189"/>
      <c r="H2" s="189"/>
      <c r="I2" s="189"/>
    </row>
    <row r="3" spans="1:9" ht="18" customHeight="1" x14ac:dyDescent="0.25">
      <c r="A3" s="149"/>
      <c r="B3" s="149"/>
      <c r="C3" s="149"/>
      <c r="D3" s="149"/>
      <c r="E3" s="149"/>
      <c r="F3" s="149"/>
      <c r="G3" s="149"/>
      <c r="H3" s="149"/>
      <c r="I3" s="149"/>
    </row>
    <row r="4" spans="1:9" ht="15" customHeight="1" x14ac:dyDescent="0.25">
      <c r="A4" s="189" t="s">
        <v>23</v>
      </c>
      <c r="B4" s="189"/>
      <c r="C4" s="189"/>
      <c r="D4" s="189"/>
      <c r="E4" s="189"/>
      <c r="F4" s="189"/>
      <c r="G4" s="189"/>
      <c r="H4" s="210"/>
      <c r="I4" s="210"/>
    </row>
    <row r="5" spans="1:9" ht="18" x14ac:dyDescent="0.25">
      <c r="A5" s="3"/>
      <c r="B5" s="3"/>
      <c r="C5" s="3"/>
      <c r="D5" s="3"/>
      <c r="E5" s="18"/>
      <c r="F5" s="30"/>
      <c r="G5" s="30"/>
      <c r="H5" s="31"/>
      <c r="I5" s="31"/>
    </row>
    <row r="6" spans="1:9" ht="18" customHeight="1" x14ac:dyDescent="0.25">
      <c r="A6" s="189" t="s">
        <v>7</v>
      </c>
      <c r="B6" s="190"/>
      <c r="C6" s="190"/>
      <c r="D6" s="190"/>
      <c r="E6" s="190"/>
      <c r="F6" s="190"/>
      <c r="G6" s="190"/>
      <c r="H6" s="190"/>
      <c r="I6" s="190"/>
    </row>
    <row r="7" spans="1:9" ht="18" x14ac:dyDescent="0.25">
      <c r="A7" s="3"/>
      <c r="B7" s="3"/>
      <c r="C7" s="3"/>
      <c r="D7" s="3"/>
      <c r="E7" s="18"/>
      <c r="F7" s="30"/>
      <c r="G7" s="30"/>
      <c r="H7" s="31"/>
      <c r="I7" s="31"/>
    </row>
    <row r="8" spans="1:9" ht="15.75" customHeight="1" x14ac:dyDescent="0.25">
      <c r="A8" s="189" t="s">
        <v>149</v>
      </c>
      <c r="B8" s="189"/>
      <c r="C8" s="189"/>
      <c r="D8" s="189"/>
      <c r="E8" s="189"/>
      <c r="F8" s="189"/>
      <c r="G8" s="189"/>
      <c r="H8" s="189"/>
      <c r="I8" s="189"/>
    </row>
    <row r="9" spans="1:9" ht="18" x14ac:dyDescent="0.25">
      <c r="A9" s="3"/>
      <c r="B9" s="3"/>
      <c r="C9" s="3"/>
      <c r="D9" s="3"/>
      <c r="E9" s="18"/>
      <c r="F9" s="30"/>
      <c r="G9" s="30"/>
      <c r="H9" s="31"/>
      <c r="I9" s="31"/>
    </row>
    <row r="10" spans="1:9" ht="25.5" customHeight="1" x14ac:dyDescent="0.25">
      <c r="A10" s="15" t="s">
        <v>8</v>
      </c>
      <c r="B10" s="14" t="s">
        <v>9</v>
      </c>
      <c r="C10" s="14" t="s">
        <v>10</v>
      </c>
      <c r="D10" s="14" t="s">
        <v>6</v>
      </c>
      <c r="E10" s="15" t="s">
        <v>145</v>
      </c>
      <c r="F10" s="15" t="s">
        <v>146</v>
      </c>
      <c r="G10" s="15" t="s">
        <v>169</v>
      </c>
      <c r="H10" s="15" t="s">
        <v>140</v>
      </c>
      <c r="I10" s="15" t="s">
        <v>147</v>
      </c>
    </row>
    <row r="11" spans="1:9" x14ac:dyDescent="0.25">
      <c r="A11" s="15"/>
      <c r="B11" s="214" t="s">
        <v>56</v>
      </c>
      <c r="C11" s="215"/>
      <c r="D11" s="216"/>
      <c r="E11" s="97">
        <f>E12</f>
        <v>848917.07000000007</v>
      </c>
      <c r="F11" s="33">
        <f>F12+F24</f>
        <v>1017201.92</v>
      </c>
      <c r="G11" s="33">
        <f>G12</f>
        <v>1257924.29</v>
      </c>
      <c r="H11" s="33">
        <f>H12+H24</f>
        <v>1136449.29</v>
      </c>
      <c r="I11" s="33">
        <f>I12+I24</f>
        <v>1133076.98</v>
      </c>
    </row>
    <row r="12" spans="1:9" ht="15.75" customHeight="1" x14ac:dyDescent="0.25">
      <c r="A12" s="7">
        <v>6</v>
      </c>
      <c r="B12" s="54">
        <v>6</v>
      </c>
      <c r="C12" s="54"/>
      <c r="D12" s="54" t="s">
        <v>11</v>
      </c>
      <c r="E12" s="78">
        <f>E13+E16+E19+E22</f>
        <v>848917.07000000007</v>
      </c>
      <c r="F12" s="51">
        <v>1017201.92</v>
      </c>
      <c r="G12" s="51">
        <f>G13+G16+G19+G22</f>
        <v>1257924.29</v>
      </c>
      <c r="H12" s="51">
        <f>H13+H16+H19+H22</f>
        <v>1136449.29</v>
      </c>
      <c r="I12" s="51">
        <f>I13+I16+I19+I22</f>
        <v>1133076.98</v>
      </c>
    </row>
    <row r="13" spans="1:9" ht="31.5" customHeight="1" x14ac:dyDescent="0.25">
      <c r="A13" s="7"/>
      <c r="B13" s="52">
        <v>63</v>
      </c>
      <c r="C13" s="52"/>
      <c r="D13" s="52" t="s">
        <v>34</v>
      </c>
      <c r="E13" s="80">
        <f>E14+E15</f>
        <v>769150.58</v>
      </c>
      <c r="F13" s="85">
        <f>SUM(F14:F15)</f>
        <v>946844.98</v>
      </c>
      <c r="G13" s="85">
        <f>SUM(G14:G15)</f>
        <v>1064830</v>
      </c>
      <c r="H13" s="85">
        <f t="shared" ref="H13:I13" si="0">SUM(H14:H15)</f>
        <v>1063530</v>
      </c>
      <c r="I13" s="85">
        <f t="shared" si="0"/>
        <v>1063530</v>
      </c>
    </row>
    <row r="14" spans="1:9" x14ac:dyDescent="0.25">
      <c r="A14" s="8"/>
      <c r="B14" s="8"/>
      <c r="C14" s="9" t="s">
        <v>64</v>
      </c>
      <c r="D14" s="9" t="s">
        <v>38</v>
      </c>
      <c r="E14" s="81">
        <v>765599.62</v>
      </c>
      <c r="F14" s="86">
        <v>946250</v>
      </c>
      <c r="G14" s="86">
        <v>1064330</v>
      </c>
      <c r="H14" s="86">
        <v>1062530</v>
      </c>
      <c r="I14" s="86">
        <f>H14</f>
        <v>1062530</v>
      </c>
    </row>
    <row r="15" spans="1:9" x14ac:dyDescent="0.25">
      <c r="A15" s="8"/>
      <c r="B15" s="8"/>
      <c r="C15" s="64" t="s">
        <v>65</v>
      </c>
      <c r="D15" s="9" t="s">
        <v>39</v>
      </c>
      <c r="E15" s="81">
        <v>3550.96</v>
      </c>
      <c r="F15" s="87">
        <v>594.98</v>
      </c>
      <c r="G15" s="87">
        <v>500</v>
      </c>
      <c r="H15" s="87">
        <v>1000</v>
      </c>
      <c r="I15" s="86">
        <v>1000</v>
      </c>
    </row>
    <row r="16" spans="1:9" ht="45" customHeight="1" x14ac:dyDescent="0.25">
      <c r="A16" s="8"/>
      <c r="B16" s="55">
        <v>65</v>
      </c>
      <c r="C16" s="56"/>
      <c r="D16" s="57" t="s">
        <v>40</v>
      </c>
      <c r="E16" s="92">
        <f>E18</f>
        <v>12725.06</v>
      </c>
      <c r="F16" s="85">
        <f>SUM(F17,F18)</f>
        <v>10135.66</v>
      </c>
      <c r="G16" s="85">
        <f>SUM(G18)</f>
        <v>7200</v>
      </c>
      <c r="H16" s="85">
        <f t="shared" ref="H16:I16" si="1">SUM(H18)</f>
        <v>7900</v>
      </c>
      <c r="I16" s="85">
        <f t="shared" si="1"/>
        <v>7900</v>
      </c>
    </row>
    <row r="17" spans="1:9" x14ac:dyDescent="0.25">
      <c r="A17" s="8"/>
      <c r="B17" s="21"/>
      <c r="C17" s="9" t="s">
        <v>67</v>
      </c>
      <c r="D17" s="9" t="s">
        <v>30</v>
      </c>
      <c r="E17" s="81">
        <v>0</v>
      </c>
      <c r="F17" s="87">
        <v>135.66</v>
      </c>
      <c r="G17" s="87">
        <v>0</v>
      </c>
      <c r="H17" s="87">
        <v>0</v>
      </c>
      <c r="I17" s="87">
        <v>0</v>
      </c>
    </row>
    <row r="18" spans="1:9" x14ac:dyDescent="0.25">
      <c r="A18" s="8"/>
      <c r="B18" s="21"/>
      <c r="C18" s="9" t="s">
        <v>66</v>
      </c>
      <c r="D18" s="9" t="s">
        <v>43</v>
      </c>
      <c r="E18" s="81">
        <v>12725.06</v>
      </c>
      <c r="F18" s="87">
        <v>10000</v>
      </c>
      <c r="G18" s="87">
        <v>7200</v>
      </c>
      <c r="H18" s="87">
        <v>7900</v>
      </c>
      <c r="I18" s="87">
        <f>H18</f>
        <v>7900</v>
      </c>
    </row>
    <row r="19" spans="1:9" ht="33" customHeight="1" x14ac:dyDescent="0.25">
      <c r="A19" s="8"/>
      <c r="B19" s="55">
        <v>66</v>
      </c>
      <c r="C19" s="56"/>
      <c r="D19" s="57" t="s">
        <v>41</v>
      </c>
      <c r="E19" s="92">
        <f>E21+E20</f>
        <v>879.51</v>
      </c>
      <c r="F19" s="85">
        <f>SUM(F20:F20)</f>
        <v>120</v>
      </c>
      <c r="G19" s="85">
        <f>SUM(G20:G21)</f>
        <v>730</v>
      </c>
      <c r="H19" s="85">
        <f>SUM(H20:H21)</f>
        <v>730</v>
      </c>
      <c r="I19" s="85">
        <f>SUM(I20:I21)</f>
        <v>730</v>
      </c>
    </row>
    <row r="20" spans="1:9" x14ac:dyDescent="0.25">
      <c r="A20" s="8"/>
      <c r="B20" s="21"/>
      <c r="C20" s="9" t="s">
        <v>67</v>
      </c>
      <c r="D20" s="9" t="s">
        <v>30</v>
      </c>
      <c r="E20" s="81">
        <v>121.96</v>
      </c>
      <c r="F20" s="87">
        <v>120</v>
      </c>
      <c r="G20" s="87">
        <v>130</v>
      </c>
      <c r="H20" s="87">
        <f>G20</f>
        <v>130</v>
      </c>
      <c r="I20" s="87">
        <f>H20</f>
        <v>130</v>
      </c>
    </row>
    <row r="21" spans="1:9" x14ac:dyDescent="0.25">
      <c r="A21" s="8"/>
      <c r="B21" s="21"/>
      <c r="C21" s="64" t="s">
        <v>159</v>
      </c>
      <c r="D21" s="9" t="s">
        <v>42</v>
      </c>
      <c r="E21" s="81">
        <v>757.55</v>
      </c>
      <c r="F21" s="87">
        <v>200</v>
      </c>
      <c r="G21" s="87">
        <v>600</v>
      </c>
      <c r="H21" s="87">
        <v>600</v>
      </c>
      <c r="I21" s="87">
        <v>600</v>
      </c>
    </row>
    <row r="22" spans="1:9" ht="28.5" customHeight="1" x14ac:dyDescent="0.25">
      <c r="A22" s="8"/>
      <c r="B22" s="55">
        <v>67</v>
      </c>
      <c r="C22" s="56"/>
      <c r="D22" s="52" t="s">
        <v>35</v>
      </c>
      <c r="E22" s="80">
        <f>E23+E29</f>
        <v>66161.919999999998</v>
      </c>
      <c r="F22" s="85">
        <f>SUM(F23:F29)</f>
        <v>57351.200000000004</v>
      </c>
      <c r="G22" s="85">
        <f>SUM(G23:G29)</f>
        <v>185164.29</v>
      </c>
      <c r="H22" s="85">
        <f>SUM(H23:H29)</f>
        <v>64289.289999999994</v>
      </c>
      <c r="I22" s="85">
        <f>SUM(I23:I29)</f>
        <v>60916.979999999996</v>
      </c>
    </row>
    <row r="23" spans="1:9" ht="25.5" x14ac:dyDescent="0.25">
      <c r="A23" s="8"/>
      <c r="B23" s="8"/>
      <c r="C23" s="9" t="s">
        <v>68</v>
      </c>
      <c r="D23" s="13" t="s">
        <v>167</v>
      </c>
      <c r="E23" s="83">
        <v>38391.75</v>
      </c>
      <c r="F23" s="87">
        <v>9406.67</v>
      </c>
      <c r="G23" s="87">
        <f>3102.5+13750+1287.77</f>
        <v>18140.27</v>
      </c>
      <c r="H23" s="87">
        <f>3102.5+13750+1287.77</f>
        <v>18140.27</v>
      </c>
      <c r="I23" s="87">
        <f>3042.5+13750+932.9</f>
        <v>17725.400000000001</v>
      </c>
    </row>
    <row r="24" spans="1:9" ht="25.5" hidden="1" x14ac:dyDescent="0.25">
      <c r="A24" s="10">
        <v>7</v>
      </c>
      <c r="B24" s="28">
        <v>7</v>
      </c>
      <c r="C24" s="28"/>
      <c r="D24" s="29" t="s">
        <v>13</v>
      </c>
      <c r="E24" s="82"/>
      <c r="F24" s="88">
        <f>F25</f>
        <v>0</v>
      </c>
      <c r="G24" s="88"/>
      <c r="H24" s="88"/>
      <c r="I24" s="88"/>
    </row>
    <row r="25" spans="1:9" ht="25.5" hidden="1" x14ac:dyDescent="0.25">
      <c r="A25" s="11"/>
      <c r="B25" s="11">
        <v>72</v>
      </c>
      <c r="C25" s="11"/>
      <c r="D25" s="20" t="s">
        <v>33</v>
      </c>
      <c r="E25" s="83"/>
      <c r="F25" s="87"/>
      <c r="G25" s="87"/>
      <c r="H25" s="87"/>
      <c r="I25" s="87"/>
    </row>
    <row r="26" spans="1:9" ht="25.5" hidden="1" x14ac:dyDescent="0.25">
      <c r="A26" s="11"/>
      <c r="B26" s="11"/>
      <c r="C26" s="11">
        <v>71</v>
      </c>
      <c r="D26" s="12" t="s">
        <v>13</v>
      </c>
      <c r="E26" s="93"/>
      <c r="F26" s="87"/>
      <c r="G26" s="87"/>
      <c r="H26" s="87"/>
      <c r="I26" s="89"/>
    </row>
    <row r="27" spans="1:9" x14ac:dyDescent="0.25">
      <c r="A27" s="11"/>
      <c r="B27" s="11"/>
      <c r="C27" s="9" t="s">
        <v>68</v>
      </c>
      <c r="D27" s="151" t="s">
        <v>164</v>
      </c>
      <c r="E27" s="93">
        <v>0</v>
      </c>
      <c r="F27" s="87">
        <v>1642.57</v>
      </c>
      <c r="G27" s="87">
        <v>1609.83</v>
      </c>
      <c r="H27" s="87">
        <v>1609.83</v>
      </c>
      <c r="I27" s="89">
        <v>1166.22</v>
      </c>
    </row>
    <row r="28" spans="1:9" x14ac:dyDescent="0.25">
      <c r="A28" s="11"/>
      <c r="B28" s="11"/>
      <c r="C28" s="9" t="s">
        <v>68</v>
      </c>
      <c r="D28" s="151" t="s">
        <v>165</v>
      </c>
      <c r="E28" s="93">
        <v>0</v>
      </c>
      <c r="F28" s="87">
        <v>9307.73</v>
      </c>
      <c r="G28" s="87">
        <f>120875+9122.38</f>
        <v>129997.38</v>
      </c>
      <c r="H28" s="87">
        <v>9122.3799999999992</v>
      </c>
      <c r="I28" s="87">
        <v>6608.55</v>
      </c>
    </row>
    <row r="29" spans="1:9" x14ac:dyDescent="0.25">
      <c r="A29" s="8"/>
      <c r="B29" s="8"/>
      <c r="C29" s="9" t="s">
        <v>69</v>
      </c>
      <c r="D29" s="12" t="s">
        <v>44</v>
      </c>
      <c r="E29" s="93">
        <v>27770.17</v>
      </c>
      <c r="F29" s="87">
        <v>36994.230000000003</v>
      </c>
      <c r="G29" s="87">
        <v>35416.81</v>
      </c>
      <c r="H29" s="87">
        <f>G29</f>
        <v>35416.81</v>
      </c>
      <c r="I29" s="87">
        <f>H29</f>
        <v>35416.81</v>
      </c>
    </row>
    <row r="30" spans="1:9" x14ac:dyDescent="0.25">
      <c r="A30" s="7">
        <v>9</v>
      </c>
      <c r="B30" s="58">
        <v>9</v>
      </c>
      <c r="C30" s="58"/>
      <c r="D30" s="59" t="s">
        <v>45</v>
      </c>
      <c r="E30" s="84">
        <f>E31</f>
        <v>7025.0500000000011</v>
      </c>
      <c r="F30" s="120">
        <f>F31</f>
        <v>7025.0500000000011</v>
      </c>
      <c r="G30" s="120">
        <f>G31</f>
        <v>1700</v>
      </c>
      <c r="H30" s="120">
        <f t="shared" ref="H30:I30" si="2">H31</f>
        <v>0</v>
      </c>
      <c r="I30" s="120">
        <f t="shared" si="2"/>
        <v>0</v>
      </c>
    </row>
    <row r="31" spans="1:9" x14ac:dyDescent="0.25">
      <c r="A31" s="7"/>
      <c r="B31" s="11">
        <v>92</v>
      </c>
      <c r="C31" s="11"/>
      <c r="D31" s="20" t="s">
        <v>46</v>
      </c>
      <c r="E31" s="83">
        <f>E36+E32+E33+E34+E35</f>
        <v>7025.0500000000011</v>
      </c>
      <c r="F31" s="87">
        <f>F36+F32+F33+F35+F34</f>
        <v>7025.0500000000011</v>
      </c>
      <c r="G31" s="87">
        <f>G33+G35+G34</f>
        <v>1700</v>
      </c>
      <c r="H31" s="87">
        <f>SUM(H32:H35)</f>
        <v>0</v>
      </c>
      <c r="I31" s="87">
        <f>SUM(I32:I35)</f>
        <v>0</v>
      </c>
    </row>
    <row r="32" spans="1:9" x14ac:dyDescent="0.25">
      <c r="A32" s="7"/>
      <c r="B32" s="11"/>
      <c r="C32" s="9" t="s">
        <v>67</v>
      </c>
      <c r="D32" s="9" t="s">
        <v>111</v>
      </c>
      <c r="E32" s="87">
        <v>28.9</v>
      </c>
      <c r="F32" s="87">
        <v>28.9</v>
      </c>
      <c r="G32" s="87">
        <v>0</v>
      </c>
      <c r="H32" s="87">
        <v>0</v>
      </c>
      <c r="I32" s="89">
        <v>0</v>
      </c>
    </row>
    <row r="33" spans="1:9" x14ac:dyDescent="0.25">
      <c r="A33" s="7"/>
      <c r="B33" s="11"/>
      <c r="C33" s="9" t="s">
        <v>66</v>
      </c>
      <c r="D33" s="27" t="s">
        <v>53</v>
      </c>
      <c r="E33" s="87">
        <v>8183.7</v>
      </c>
      <c r="F33" s="87">
        <v>8183.7</v>
      </c>
      <c r="G33" s="87">
        <v>4200</v>
      </c>
      <c r="H33" s="87">
        <v>0</v>
      </c>
      <c r="I33" s="89">
        <v>0</v>
      </c>
    </row>
    <row r="34" spans="1:9" x14ac:dyDescent="0.25">
      <c r="A34" s="7"/>
      <c r="B34" s="11"/>
      <c r="C34" s="9" t="s">
        <v>64</v>
      </c>
      <c r="D34" s="9" t="s">
        <v>158</v>
      </c>
      <c r="E34" s="167" t="s">
        <v>156</v>
      </c>
      <c r="F34" s="167" t="s">
        <v>156</v>
      </c>
      <c r="G34" s="167">
        <v>-3000</v>
      </c>
      <c r="H34" s="87">
        <v>0</v>
      </c>
      <c r="I34" s="89">
        <v>0</v>
      </c>
    </row>
    <row r="35" spans="1:9" x14ac:dyDescent="0.25">
      <c r="A35" s="11"/>
      <c r="B35" s="11"/>
      <c r="C35" s="9" t="s">
        <v>65</v>
      </c>
      <c r="D35" s="27" t="s">
        <v>57</v>
      </c>
      <c r="E35" s="87">
        <v>905.02</v>
      </c>
      <c r="F35" s="87">
        <v>905.02</v>
      </c>
      <c r="G35" s="87">
        <v>500</v>
      </c>
      <c r="H35" s="87">
        <v>0</v>
      </c>
      <c r="I35" s="89">
        <v>0</v>
      </c>
    </row>
    <row r="36" spans="1:9" x14ac:dyDescent="0.25">
      <c r="A36" s="7"/>
      <c r="B36" s="11"/>
      <c r="C36" s="64" t="s">
        <v>159</v>
      </c>
      <c r="D36" s="9" t="s">
        <v>110</v>
      </c>
      <c r="E36" s="87">
        <v>457.51</v>
      </c>
      <c r="F36" s="87">
        <v>457.51</v>
      </c>
      <c r="G36" s="87">
        <v>0</v>
      </c>
      <c r="H36" s="87">
        <v>0</v>
      </c>
      <c r="I36" s="89">
        <v>0</v>
      </c>
    </row>
    <row r="37" spans="1:9" x14ac:dyDescent="0.25">
      <c r="A37" s="217" t="s">
        <v>63</v>
      </c>
      <c r="B37" s="217"/>
      <c r="C37" s="217"/>
      <c r="D37" s="217"/>
      <c r="E37" s="90">
        <f>E30+E12</f>
        <v>855942.12000000011</v>
      </c>
      <c r="F37" s="91">
        <f>F12+F30</f>
        <v>1024226.9700000001</v>
      </c>
      <c r="G37" s="91">
        <f>G12+G30</f>
        <v>1259624.29</v>
      </c>
      <c r="H37" s="91">
        <f>H12+H30</f>
        <v>1136449.29</v>
      </c>
      <c r="I37" s="91">
        <f>I12+I30</f>
        <v>1133076.98</v>
      </c>
    </row>
    <row r="39" spans="1:9" ht="18" x14ac:dyDescent="0.25">
      <c r="A39" s="3"/>
      <c r="B39" s="3"/>
      <c r="C39" s="3"/>
      <c r="D39" s="3"/>
      <c r="E39" s="18"/>
      <c r="F39" s="30"/>
      <c r="G39" s="30"/>
      <c r="H39" s="31"/>
      <c r="I39" s="31"/>
    </row>
    <row r="40" spans="1:9" ht="28.9" customHeight="1" x14ac:dyDescent="0.25">
      <c r="A40" s="15" t="s">
        <v>8</v>
      </c>
      <c r="B40" s="14" t="s">
        <v>9</v>
      </c>
      <c r="C40" s="14" t="s">
        <v>10</v>
      </c>
      <c r="D40" s="14" t="s">
        <v>14</v>
      </c>
      <c r="E40" s="15" t="s">
        <v>145</v>
      </c>
      <c r="F40" s="15" t="s">
        <v>146</v>
      </c>
      <c r="G40" s="15" t="s">
        <v>169</v>
      </c>
      <c r="H40" s="15" t="s">
        <v>140</v>
      </c>
      <c r="I40" s="15" t="s">
        <v>147</v>
      </c>
    </row>
    <row r="41" spans="1:9" x14ac:dyDescent="0.25">
      <c r="A41" s="15"/>
      <c r="B41" s="214" t="s">
        <v>155</v>
      </c>
      <c r="C41" s="215"/>
      <c r="D41" s="216"/>
      <c r="E41" s="97">
        <f>E42</f>
        <v>847028.32</v>
      </c>
      <c r="F41" s="166">
        <f>F42+F66</f>
        <v>1024720.54</v>
      </c>
      <c r="G41" s="166">
        <v>1260924.29</v>
      </c>
      <c r="H41" s="166">
        <v>1136449.29</v>
      </c>
      <c r="I41" s="166">
        <v>1133076.98</v>
      </c>
    </row>
    <row r="42" spans="1:9" ht="15.75" customHeight="1" x14ac:dyDescent="0.25">
      <c r="A42" s="7">
        <v>3</v>
      </c>
      <c r="B42" s="54">
        <v>3</v>
      </c>
      <c r="C42" s="54"/>
      <c r="D42" s="54" t="s">
        <v>15</v>
      </c>
      <c r="E42" s="78">
        <v>847028.32</v>
      </c>
      <c r="F42" s="117">
        <f>F43+F47+F56+F60+F64</f>
        <v>1018120.54</v>
      </c>
      <c r="G42" s="117">
        <f>G43+G47+G56+G60+G64</f>
        <v>1128519.29</v>
      </c>
      <c r="H42" s="117">
        <f>H43+H47+H56+H60+H64</f>
        <v>1127519.29</v>
      </c>
      <c r="I42" s="117">
        <f>I43+I47+I56+I60+I64</f>
        <v>1124206.98</v>
      </c>
    </row>
    <row r="43" spans="1:9" ht="15.75" customHeight="1" x14ac:dyDescent="0.25">
      <c r="A43" s="7"/>
      <c r="B43" s="52">
        <v>31</v>
      </c>
      <c r="C43" s="52"/>
      <c r="D43" s="52" t="s">
        <v>16</v>
      </c>
      <c r="E43" s="76">
        <f>E44+E45+E46</f>
        <v>693339.04</v>
      </c>
      <c r="F43" s="116">
        <f>SUM(F44:F46)</f>
        <v>876740.47</v>
      </c>
      <c r="G43" s="116">
        <f>SUM(G44:G46)</f>
        <v>975203.39</v>
      </c>
      <c r="H43" s="116">
        <f>SUM(H44:H46)</f>
        <v>977303.39</v>
      </c>
      <c r="I43" s="116">
        <f>SUM(I44:I46)</f>
        <v>974256.23</v>
      </c>
    </row>
    <row r="44" spans="1:9" ht="25.5" x14ac:dyDescent="0.25">
      <c r="A44" s="8"/>
      <c r="B44" s="8"/>
      <c r="C44" s="64" t="s">
        <v>68</v>
      </c>
      <c r="D44" s="12" t="s">
        <v>47</v>
      </c>
      <c r="E44" s="96">
        <f>1538.34+271.45+96.25+3089.68+147.02</f>
        <v>5142.74</v>
      </c>
      <c r="F44" s="118">
        <f>702.19+234.71+877.8+662.04+4974.22+3751.43</f>
        <v>11202.39</v>
      </c>
      <c r="G44" s="118">
        <f>1206.71+1508.5+8548.18</f>
        <v>11263.39</v>
      </c>
      <c r="H44" s="118">
        <f>1206.71+1508.5+8548.18</f>
        <v>11263.39</v>
      </c>
      <c r="I44" s="118">
        <f>872.11+1166.22+6177.9</f>
        <v>8216.23</v>
      </c>
    </row>
    <row r="45" spans="1:9" x14ac:dyDescent="0.25">
      <c r="A45" s="8"/>
      <c r="B45" s="8"/>
      <c r="C45" s="9" t="s">
        <v>64</v>
      </c>
      <c r="D45" s="9" t="s">
        <v>38</v>
      </c>
      <c r="E45" s="79">
        <f>557208.93+4830.63+5459.81+9300+17069.73+92764.12</f>
        <v>686633.22000000009</v>
      </c>
      <c r="F45" s="118">
        <f>9900+702283.46+1300+116200+8321.62+8050+2330+150+3+17000</f>
        <v>865538.08</v>
      </c>
      <c r="G45" s="118">
        <f>793000+9000+9500+6600+11600+1800+10500+440+121500</f>
        <v>963940</v>
      </c>
      <c r="H45" s="118">
        <f>G45+2100</f>
        <v>966040</v>
      </c>
      <c r="I45" s="118">
        <f>H45</f>
        <v>966040</v>
      </c>
    </row>
    <row r="46" spans="1:9" ht="15.75" customHeight="1" x14ac:dyDescent="0.25">
      <c r="A46" s="8"/>
      <c r="B46" s="8"/>
      <c r="C46" s="9" t="s">
        <v>65</v>
      </c>
      <c r="D46" s="9" t="s">
        <v>49</v>
      </c>
      <c r="E46" s="79">
        <f>1212.95+150+200.13</f>
        <v>1563.08</v>
      </c>
      <c r="F46" s="118">
        <v>0</v>
      </c>
      <c r="G46" s="118">
        <v>0</v>
      </c>
      <c r="H46" s="118">
        <v>0</v>
      </c>
      <c r="I46" s="118">
        <v>0</v>
      </c>
    </row>
    <row r="47" spans="1:9" x14ac:dyDescent="0.25">
      <c r="A47" s="8"/>
      <c r="B47" s="55">
        <v>32</v>
      </c>
      <c r="C47" s="56"/>
      <c r="D47" s="55" t="s">
        <v>26</v>
      </c>
      <c r="E47" s="94">
        <f>E48+E49+E55+E50+E51+E52+E53</f>
        <v>141362.22999999998</v>
      </c>
      <c r="F47" s="116">
        <f>SUM(F48:F54)</f>
        <v>131628.07</v>
      </c>
      <c r="G47" s="116">
        <f>SUM(G48:G54)</f>
        <v>139940.9</v>
      </c>
      <c r="H47" s="116">
        <f>SUM(H48:H54)</f>
        <v>136840.9</v>
      </c>
      <c r="I47" s="116">
        <f>SUM(I48:I54)</f>
        <v>136575.75</v>
      </c>
    </row>
    <row r="48" spans="1:9" x14ac:dyDescent="0.25">
      <c r="A48" s="8"/>
      <c r="B48" s="8"/>
      <c r="C48" s="9" t="s">
        <v>68</v>
      </c>
      <c r="D48" s="9" t="s">
        <v>12</v>
      </c>
      <c r="E48" s="79">
        <v>26692.19</v>
      </c>
      <c r="F48" s="118">
        <f>52.71+2.68+11.88+40+15+460+2500+3000+750+238.5+65.89+3.35+33.49+373.4+18.97+189.71</f>
        <v>7755.5800000000008</v>
      </c>
      <c r="G48" s="118">
        <f>1212.5+10250+81.06+101.33+574.2</f>
        <v>12219.09</v>
      </c>
      <c r="H48" s="118">
        <f>1212.5+10250+101.33+574.2+81.06</f>
        <v>12219.09</v>
      </c>
      <c r="I48" s="118">
        <f>1212.5+10250+60.79+430.65</f>
        <v>11953.94</v>
      </c>
    </row>
    <row r="49" spans="1:9" x14ac:dyDescent="0.25">
      <c r="A49" s="8"/>
      <c r="B49" s="8"/>
      <c r="C49" s="9" t="s">
        <v>69</v>
      </c>
      <c r="D49" s="12" t="s">
        <v>44</v>
      </c>
      <c r="E49" s="96">
        <f>27770.17-E57</f>
        <v>27282.019999999997</v>
      </c>
      <c r="F49" s="118">
        <f>4300+120+70+800+3930+4200+11114.23+180+950+100+100+1600+80+400+2300+600+1600+73+157+1900+530+165+145+50</f>
        <v>35464.229999999996</v>
      </c>
      <c r="G49" s="118">
        <f>35416.81-G57-G69</f>
        <v>33631.81</v>
      </c>
      <c r="H49" s="118">
        <f>G49</f>
        <v>33631.81</v>
      </c>
      <c r="I49" s="118">
        <f>H49</f>
        <v>33631.81</v>
      </c>
    </row>
    <row r="50" spans="1:9" x14ac:dyDescent="0.25">
      <c r="A50" s="8"/>
      <c r="B50" s="8"/>
      <c r="C50" s="9" t="s">
        <v>67</v>
      </c>
      <c r="D50" s="9" t="s">
        <v>30</v>
      </c>
      <c r="E50" s="79">
        <v>187.82</v>
      </c>
      <c r="F50" s="118">
        <f>118.9+30+135.66</f>
        <v>284.56</v>
      </c>
      <c r="G50" s="118">
        <v>130</v>
      </c>
      <c r="H50" s="118">
        <v>130</v>
      </c>
      <c r="I50" s="118">
        <v>130</v>
      </c>
    </row>
    <row r="51" spans="1:9" x14ac:dyDescent="0.25">
      <c r="A51" s="8"/>
      <c r="B51" s="8"/>
      <c r="C51" s="9" t="s">
        <v>66</v>
      </c>
      <c r="D51" s="9" t="s">
        <v>48</v>
      </c>
      <c r="E51" s="79">
        <f>17484.85-E71</f>
        <v>12427.029999999999</v>
      </c>
      <c r="F51" s="118">
        <f>300+10033.7+400+700+1400+400+500+500+150+200+500+200</f>
        <v>15283.7</v>
      </c>
      <c r="G51" s="118">
        <f>11400-1300</f>
        <v>10100</v>
      </c>
      <c r="H51" s="118">
        <v>7900</v>
      </c>
      <c r="I51" s="118">
        <f>H51</f>
        <v>7900</v>
      </c>
    </row>
    <row r="52" spans="1:9" x14ac:dyDescent="0.25">
      <c r="A52" s="8"/>
      <c r="B52" s="8"/>
      <c r="C52" s="9" t="s">
        <v>64</v>
      </c>
      <c r="D52" s="9" t="s">
        <v>38</v>
      </c>
      <c r="E52" s="79">
        <f>38506.78+20.13+31289.47+1664.43</f>
        <v>71480.81</v>
      </c>
      <c r="F52" s="119">
        <f>30000+190+39000+100+2050</f>
        <v>71340</v>
      </c>
      <c r="G52" s="119">
        <f>39800+100+270+40500+2190</f>
        <v>82860</v>
      </c>
      <c r="H52" s="119">
        <f>39800+100+270+39600+2190</f>
        <v>81960</v>
      </c>
      <c r="I52" s="119">
        <f>H52</f>
        <v>81960</v>
      </c>
    </row>
    <row r="53" spans="1:9" x14ac:dyDescent="0.25">
      <c r="A53" s="8"/>
      <c r="B53" s="8"/>
      <c r="C53" s="9" t="s">
        <v>65</v>
      </c>
      <c r="D53" s="9" t="s">
        <v>49</v>
      </c>
      <c r="E53" s="79">
        <f>1601.36+125.25+800</f>
        <v>2526.6099999999997</v>
      </c>
      <c r="F53" s="118">
        <f>200+700+300+300</f>
        <v>1500</v>
      </c>
      <c r="G53" s="118">
        <v>1000</v>
      </c>
      <c r="H53" s="118">
        <v>1000</v>
      </c>
      <c r="I53" s="118">
        <v>1000</v>
      </c>
    </row>
    <row r="54" spans="1:9" ht="25.5" hidden="1" x14ac:dyDescent="0.25">
      <c r="A54" s="8"/>
      <c r="B54" s="8"/>
      <c r="C54" s="9">
        <v>71</v>
      </c>
      <c r="D54" s="12" t="s">
        <v>13</v>
      </c>
      <c r="E54" s="96"/>
      <c r="F54" s="118"/>
      <c r="G54" s="118"/>
      <c r="H54" s="118"/>
      <c r="I54" s="118"/>
    </row>
    <row r="55" spans="1:9" x14ac:dyDescent="0.25">
      <c r="A55" s="8"/>
      <c r="B55" s="8"/>
      <c r="C55" s="64" t="s">
        <v>159</v>
      </c>
      <c r="D55" s="9" t="s">
        <v>42</v>
      </c>
      <c r="E55" s="79">
        <v>765.75</v>
      </c>
      <c r="F55" s="118">
        <f>100+300+200+57.51</f>
        <v>657.51</v>
      </c>
      <c r="G55" s="118">
        <v>600</v>
      </c>
      <c r="H55" s="118">
        <v>600</v>
      </c>
      <c r="I55" s="118">
        <v>600</v>
      </c>
    </row>
    <row r="56" spans="1:9" x14ac:dyDescent="0.25">
      <c r="A56" s="8"/>
      <c r="B56" s="55">
        <v>34</v>
      </c>
      <c r="C56" s="56"/>
      <c r="D56" s="62" t="s">
        <v>50</v>
      </c>
      <c r="E56" s="95">
        <f>E57+E59</f>
        <v>488.15</v>
      </c>
      <c r="F56" s="116">
        <f>SUM(F57:F59)</f>
        <v>922</v>
      </c>
      <c r="G56" s="116">
        <f>SUM(G57:G59)</f>
        <v>975</v>
      </c>
      <c r="H56" s="116">
        <f>SUM(H57:H59)</f>
        <v>975</v>
      </c>
      <c r="I56" s="116">
        <f>SUM(I57:I59)</f>
        <v>975</v>
      </c>
    </row>
    <row r="57" spans="1:9" x14ac:dyDescent="0.25">
      <c r="A57" s="8"/>
      <c r="B57" s="8"/>
      <c r="C57" s="9" t="s">
        <v>69</v>
      </c>
      <c r="D57" s="12" t="s">
        <v>44</v>
      </c>
      <c r="E57" s="96">
        <v>488.15</v>
      </c>
      <c r="F57" s="118">
        <f>820+10</f>
        <v>830</v>
      </c>
      <c r="G57" s="118">
        <v>845</v>
      </c>
      <c r="H57" s="118">
        <v>845</v>
      </c>
      <c r="I57" s="118">
        <v>845</v>
      </c>
    </row>
    <row r="58" spans="1:9" ht="15.75" customHeight="1" x14ac:dyDescent="0.25">
      <c r="A58" s="8"/>
      <c r="B58" s="8"/>
      <c r="C58" s="9" t="s">
        <v>68</v>
      </c>
      <c r="D58" s="9" t="s">
        <v>12</v>
      </c>
      <c r="E58" s="96">
        <v>0</v>
      </c>
      <c r="F58" s="118">
        <v>0</v>
      </c>
      <c r="G58" s="118">
        <v>0</v>
      </c>
      <c r="H58" s="118">
        <v>0</v>
      </c>
      <c r="I58" s="118">
        <v>0</v>
      </c>
    </row>
    <row r="59" spans="1:9" ht="16.899999999999999" customHeight="1" x14ac:dyDescent="0.25">
      <c r="A59" s="8"/>
      <c r="B59" s="8"/>
      <c r="C59" s="9" t="s">
        <v>64</v>
      </c>
      <c r="D59" s="12" t="s">
        <v>38</v>
      </c>
      <c r="E59" s="96">
        <v>0</v>
      </c>
      <c r="F59" s="118">
        <f>27+65</f>
        <v>92</v>
      </c>
      <c r="G59" s="118">
        <v>130</v>
      </c>
      <c r="H59" s="118">
        <v>130</v>
      </c>
      <c r="I59" s="118">
        <v>130</v>
      </c>
    </row>
    <row r="60" spans="1:9" ht="27" customHeight="1" x14ac:dyDescent="0.25">
      <c r="A60" s="8"/>
      <c r="B60" s="55">
        <v>37</v>
      </c>
      <c r="C60" s="56"/>
      <c r="D60" s="62" t="s">
        <v>51</v>
      </c>
      <c r="E60" s="95">
        <f>E63</f>
        <v>8486.2000000000007</v>
      </c>
      <c r="F60" s="116">
        <f>F63</f>
        <v>8500</v>
      </c>
      <c r="G60" s="116">
        <f>G63</f>
        <v>12000</v>
      </c>
      <c r="H60" s="116">
        <f>H63</f>
        <v>12000</v>
      </c>
      <c r="I60" s="116">
        <f>I63</f>
        <v>12000</v>
      </c>
    </row>
    <row r="61" spans="1:9" hidden="1" x14ac:dyDescent="0.25">
      <c r="A61" s="8"/>
      <c r="B61" s="8"/>
      <c r="C61" s="9">
        <v>11</v>
      </c>
      <c r="D61" s="12" t="s">
        <v>52</v>
      </c>
      <c r="E61" s="96"/>
      <c r="F61" s="118"/>
      <c r="G61" s="118"/>
      <c r="H61" s="118"/>
      <c r="I61" s="118"/>
    </row>
    <row r="62" spans="1:9" x14ac:dyDescent="0.25">
      <c r="A62" s="8"/>
      <c r="B62" s="8"/>
      <c r="C62" s="9" t="s">
        <v>68</v>
      </c>
      <c r="D62" s="9" t="s">
        <v>12</v>
      </c>
      <c r="E62" s="96">
        <f>2138.67+693.15+600</f>
        <v>3431.82</v>
      </c>
      <c r="F62" s="118">
        <f>199+600+500+100</f>
        <v>1399</v>
      </c>
      <c r="G62" s="118">
        <f>1890</f>
        <v>1890</v>
      </c>
      <c r="H62" s="118">
        <f>1890</f>
        <v>1890</v>
      </c>
      <c r="I62" s="118">
        <v>1830</v>
      </c>
    </row>
    <row r="63" spans="1:9" x14ac:dyDescent="0.25">
      <c r="A63" s="8"/>
      <c r="B63" s="8"/>
      <c r="C63" s="9" t="s">
        <v>64</v>
      </c>
      <c r="D63" s="9" t="s">
        <v>38</v>
      </c>
      <c r="E63" s="79">
        <v>8486.2000000000007</v>
      </c>
      <c r="F63" s="118">
        <f>8500</f>
        <v>8500</v>
      </c>
      <c r="G63" s="118">
        <v>12000</v>
      </c>
      <c r="H63" s="118">
        <f>G63</f>
        <v>12000</v>
      </c>
      <c r="I63" s="118">
        <f>H63</f>
        <v>12000</v>
      </c>
    </row>
    <row r="64" spans="1:9" x14ac:dyDescent="0.25">
      <c r="A64" s="8"/>
      <c r="B64" s="55">
        <v>38</v>
      </c>
      <c r="C64" s="56"/>
      <c r="D64" s="62" t="s">
        <v>138</v>
      </c>
      <c r="E64" s="94">
        <v>0</v>
      </c>
      <c r="F64" s="116">
        <f>F65</f>
        <v>330</v>
      </c>
      <c r="G64" s="116">
        <f>G65</f>
        <v>400</v>
      </c>
      <c r="H64" s="116">
        <f t="shared" ref="H64:I64" si="3">H65</f>
        <v>400</v>
      </c>
      <c r="I64" s="116">
        <f t="shared" si="3"/>
        <v>400</v>
      </c>
    </row>
    <row r="65" spans="1:9" ht="16.5" customHeight="1" x14ac:dyDescent="0.25">
      <c r="A65" s="8"/>
      <c r="B65" s="8"/>
      <c r="C65" s="9" t="s">
        <v>64</v>
      </c>
      <c r="D65" s="9" t="s">
        <v>38</v>
      </c>
      <c r="E65" s="79">
        <v>0</v>
      </c>
      <c r="F65" s="118">
        <v>330</v>
      </c>
      <c r="G65" s="118">
        <v>400</v>
      </c>
      <c r="H65" s="118">
        <f>G65</f>
        <v>400</v>
      </c>
      <c r="I65" s="118">
        <f>H65</f>
        <v>400</v>
      </c>
    </row>
    <row r="66" spans="1:9" ht="25.5" x14ac:dyDescent="0.25">
      <c r="A66" s="10">
        <v>4</v>
      </c>
      <c r="B66" s="61">
        <v>4</v>
      </c>
      <c r="C66" s="61"/>
      <c r="D66" s="59" t="s">
        <v>17</v>
      </c>
      <c r="E66" s="78">
        <f>E67</f>
        <v>8535.48</v>
      </c>
      <c r="F66" s="117">
        <f>F67+F76</f>
        <v>6600</v>
      </c>
      <c r="G66" s="117">
        <f>G67+G76</f>
        <v>128615</v>
      </c>
      <c r="H66" s="117">
        <f t="shared" ref="H66:I66" si="4">H67</f>
        <v>6440</v>
      </c>
      <c r="I66" s="117">
        <f t="shared" si="4"/>
        <v>6440</v>
      </c>
    </row>
    <row r="67" spans="1:9" ht="27.6" customHeight="1" x14ac:dyDescent="0.25">
      <c r="A67" s="11"/>
      <c r="B67" s="52">
        <v>42</v>
      </c>
      <c r="C67" s="52"/>
      <c r="D67" s="63" t="s">
        <v>36</v>
      </c>
      <c r="E67" s="76">
        <f>E68+E69+E71+E72+E73+E75</f>
        <v>8535.48</v>
      </c>
      <c r="F67" s="53">
        <f>SUM(F68:F73)</f>
        <v>6600</v>
      </c>
      <c r="G67" s="53">
        <f>SUM(G68:G75)</f>
        <v>128615</v>
      </c>
      <c r="H67" s="53">
        <f>SUM(H68:H73)</f>
        <v>6440</v>
      </c>
      <c r="I67" s="53">
        <f>SUM(I68:I73)</f>
        <v>6440</v>
      </c>
    </row>
    <row r="68" spans="1:9" x14ac:dyDescent="0.25">
      <c r="A68" s="11"/>
      <c r="B68" s="11"/>
      <c r="C68" s="65" t="s">
        <v>68</v>
      </c>
      <c r="D68" s="9" t="s">
        <v>12</v>
      </c>
      <c r="E68" s="79">
        <v>3125</v>
      </c>
      <c r="F68" s="34">
        <v>0</v>
      </c>
      <c r="G68" s="34">
        <f>3500</f>
        <v>3500</v>
      </c>
      <c r="H68" s="34">
        <v>3500</v>
      </c>
      <c r="I68" s="34">
        <v>3500</v>
      </c>
    </row>
    <row r="69" spans="1:9" ht="15.75" customHeight="1" x14ac:dyDescent="0.25">
      <c r="A69" s="11"/>
      <c r="B69" s="11"/>
      <c r="C69" s="65" t="s">
        <v>69</v>
      </c>
      <c r="D69" s="12" t="s">
        <v>44</v>
      </c>
      <c r="E69" s="96">
        <v>0</v>
      </c>
      <c r="F69" s="34">
        <f>700</f>
        <v>700</v>
      </c>
      <c r="G69" s="34">
        <v>940</v>
      </c>
      <c r="H69" s="34">
        <f>G69</f>
        <v>940</v>
      </c>
      <c r="I69" s="34">
        <f>H69</f>
        <v>940</v>
      </c>
    </row>
    <row r="70" spans="1:9" ht="15" hidden="1" customHeight="1" x14ac:dyDescent="0.25">
      <c r="A70" s="11"/>
      <c r="B70" s="11"/>
      <c r="C70" s="13">
        <v>31</v>
      </c>
      <c r="D70" s="35" t="s">
        <v>30</v>
      </c>
      <c r="E70" s="77"/>
      <c r="F70" s="34"/>
      <c r="G70" s="34"/>
      <c r="H70" s="34"/>
      <c r="I70" s="34"/>
    </row>
    <row r="71" spans="1:9" x14ac:dyDescent="0.25">
      <c r="A71" s="11"/>
      <c r="B71" s="11"/>
      <c r="C71" s="65" t="s">
        <v>66</v>
      </c>
      <c r="D71" s="35" t="s">
        <v>48</v>
      </c>
      <c r="E71" s="77">
        <v>5057.82</v>
      </c>
      <c r="F71" s="34">
        <f>200+2700</f>
        <v>2900</v>
      </c>
      <c r="G71" s="34">
        <v>1300</v>
      </c>
      <c r="H71" s="34">
        <v>0</v>
      </c>
      <c r="I71" s="34">
        <v>0</v>
      </c>
    </row>
    <row r="72" spans="1:9" x14ac:dyDescent="0.25">
      <c r="A72" s="11"/>
      <c r="B72" s="11"/>
      <c r="C72" s="65" t="s">
        <v>64</v>
      </c>
      <c r="D72" s="12" t="s">
        <v>38</v>
      </c>
      <c r="E72" s="96">
        <v>352.66</v>
      </c>
      <c r="F72" s="34">
        <v>3000</v>
      </c>
      <c r="G72" s="34">
        <v>2000</v>
      </c>
      <c r="H72" s="34">
        <f>G72</f>
        <v>2000</v>
      </c>
      <c r="I72" s="34">
        <f>H72</f>
        <v>2000</v>
      </c>
    </row>
    <row r="73" spans="1:9" ht="16.5" customHeight="1" x14ac:dyDescent="0.25">
      <c r="A73" s="11"/>
      <c r="B73" s="11"/>
      <c r="C73" s="9" t="s">
        <v>65</v>
      </c>
      <c r="D73" s="9" t="s">
        <v>49</v>
      </c>
      <c r="E73" s="79">
        <v>0</v>
      </c>
      <c r="F73" s="34">
        <v>0</v>
      </c>
      <c r="G73" s="34">
        <v>0</v>
      </c>
      <c r="H73" s="34">
        <v>0</v>
      </c>
      <c r="I73" s="34">
        <v>0</v>
      </c>
    </row>
    <row r="74" spans="1:9" ht="16.5" customHeight="1" x14ac:dyDescent="0.25">
      <c r="A74" s="11"/>
      <c r="B74" s="11"/>
      <c r="C74" s="9" t="s">
        <v>177</v>
      </c>
      <c r="D74" s="9" t="s">
        <v>178</v>
      </c>
      <c r="E74" s="79">
        <v>0</v>
      </c>
      <c r="F74" s="34">
        <v>0</v>
      </c>
      <c r="G74" s="34">
        <v>120875</v>
      </c>
      <c r="H74" s="34">
        <v>0</v>
      </c>
      <c r="I74" s="34">
        <v>0</v>
      </c>
    </row>
    <row r="75" spans="1:9" ht="15" customHeight="1" x14ac:dyDescent="0.25">
      <c r="A75" s="11"/>
      <c r="B75" s="11"/>
      <c r="C75" s="64" t="s">
        <v>159</v>
      </c>
      <c r="D75" s="9" t="s">
        <v>42</v>
      </c>
      <c r="E75" s="79">
        <v>0</v>
      </c>
      <c r="F75" s="34">
        <v>0</v>
      </c>
      <c r="G75" s="34">
        <v>0</v>
      </c>
      <c r="H75" s="34">
        <v>0</v>
      </c>
      <c r="I75" s="34">
        <v>0</v>
      </c>
    </row>
    <row r="76" spans="1:9" ht="25.5" x14ac:dyDescent="0.25">
      <c r="A76" s="11"/>
      <c r="B76" s="52">
        <v>45</v>
      </c>
      <c r="C76" s="52"/>
      <c r="D76" s="63" t="s">
        <v>139</v>
      </c>
      <c r="E76" s="76">
        <f>E77+E78+E81+E82+E83+E79</f>
        <v>0</v>
      </c>
      <c r="F76" s="53">
        <f>F77</f>
        <v>0</v>
      </c>
      <c r="G76" s="53">
        <v>0</v>
      </c>
      <c r="H76" s="53">
        <v>0</v>
      </c>
      <c r="I76" s="53">
        <v>0</v>
      </c>
    </row>
    <row r="77" spans="1:9" x14ac:dyDescent="0.25">
      <c r="A77" s="11"/>
      <c r="B77" s="11"/>
      <c r="C77" s="65" t="s">
        <v>68</v>
      </c>
      <c r="D77" s="9" t="s">
        <v>12</v>
      </c>
      <c r="E77" s="79">
        <v>0</v>
      </c>
      <c r="F77" s="34">
        <v>0</v>
      </c>
      <c r="G77" s="34">
        <v>0</v>
      </c>
      <c r="H77" s="34">
        <v>0</v>
      </c>
      <c r="I77" s="34">
        <v>0</v>
      </c>
    </row>
    <row r="79" spans="1:9" hidden="1" x14ac:dyDescent="0.25">
      <c r="C79" s="9">
        <v>11</v>
      </c>
      <c r="D79" s="9" t="s">
        <v>12</v>
      </c>
      <c r="E79" s="9"/>
      <c r="F79" s="37">
        <f>F68+F48+F44</f>
        <v>18957.97</v>
      </c>
      <c r="G79" s="37"/>
      <c r="H79" s="37">
        <f>H68+H48+H44</f>
        <v>26982.48</v>
      </c>
      <c r="I79" s="37">
        <f>I68+I48+I44</f>
        <v>23670.17</v>
      </c>
    </row>
    <row r="80" spans="1:9" hidden="1" x14ac:dyDescent="0.25">
      <c r="C80" s="9">
        <v>13</v>
      </c>
      <c r="D80" s="12" t="s">
        <v>44</v>
      </c>
      <c r="E80" s="12"/>
      <c r="F80" s="37">
        <f>F69+F57+F49</f>
        <v>36994.229999999996</v>
      </c>
      <c r="G80" s="37"/>
      <c r="H80" s="37">
        <f>H69+H57+H49</f>
        <v>35416.81</v>
      </c>
      <c r="I80" s="37">
        <f>I69+I57+I49</f>
        <v>35416.81</v>
      </c>
    </row>
    <row r="81" spans="3:9" hidden="1" x14ac:dyDescent="0.25">
      <c r="C81" s="9">
        <v>21</v>
      </c>
      <c r="D81" s="9" t="s">
        <v>42</v>
      </c>
      <c r="E81" s="9"/>
      <c r="F81" s="37">
        <f>F55</f>
        <v>657.51</v>
      </c>
      <c r="G81" s="37"/>
      <c r="H81" s="37">
        <f>H55</f>
        <v>600</v>
      </c>
      <c r="I81" s="37">
        <f>I55</f>
        <v>600</v>
      </c>
    </row>
    <row r="82" spans="3:9" hidden="1" x14ac:dyDescent="0.25">
      <c r="C82" s="9">
        <v>31</v>
      </c>
      <c r="D82" s="9" t="s">
        <v>30</v>
      </c>
      <c r="E82" s="9"/>
      <c r="F82" s="37">
        <f>F50</f>
        <v>284.56</v>
      </c>
      <c r="G82" s="37"/>
      <c r="H82" s="37">
        <f>H50</f>
        <v>130</v>
      </c>
      <c r="I82" s="37">
        <f>I50</f>
        <v>130</v>
      </c>
    </row>
    <row r="83" spans="3:9" hidden="1" x14ac:dyDescent="0.25">
      <c r="C83" s="9">
        <v>43</v>
      </c>
      <c r="D83" s="9" t="s">
        <v>48</v>
      </c>
      <c r="E83" s="9"/>
      <c r="F83" s="37">
        <f>F71+F51</f>
        <v>18183.7</v>
      </c>
      <c r="G83" s="37"/>
      <c r="H83" s="38">
        <f>H71+H51</f>
        <v>7900</v>
      </c>
      <c r="I83" s="38">
        <f>I71+I51</f>
        <v>7900</v>
      </c>
    </row>
    <row r="84" spans="3:9" hidden="1" x14ac:dyDescent="0.25">
      <c r="C84" s="9">
        <v>52</v>
      </c>
      <c r="D84" s="9" t="s">
        <v>38</v>
      </c>
      <c r="E84" s="9"/>
      <c r="F84" s="37">
        <f>F72+F63+F59+F52+F45</f>
        <v>948470.08</v>
      </c>
      <c r="G84" s="37"/>
      <c r="H84" s="38">
        <f>H72+H63+H59+H52+H45</f>
        <v>1062130</v>
      </c>
      <c r="I84" s="38">
        <f>I72+I63+I59+I52+I45</f>
        <v>1062130</v>
      </c>
    </row>
    <row r="85" spans="3:9" hidden="1" x14ac:dyDescent="0.25">
      <c r="C85" s="9">
        <v>54</v>
      </c>
      <c r="D85" s="9" t="s">
        <v>49</v>
      </c>
      <c r="E85" s="9"/>
      <c r="F85" s="37">
        <f>F53</f>
        <v>1500</v>
      </c>
      <c r="G85" s="37"/>
      <c r="H85" s="37">
        <f>H53</f>
        <v>1000</v>
      </c>
      <c r="I85" s="37">
        <f>I53</f>
        <v>1000</v>
      </c>
    </row>
    <row r="86" spans="3:9" hidden="1" x14ac:dyDescent="0.25">
      <c r="D86" s="36" t="s">
        <v>58</v>
      </c>
      <c r="E86" s="36"/>
      <c r="F86" s="39">
        <f>SUM(F79:F85)</f>
        <v>1025048.0499999999</v>
      </c>
      <c r="G86" s="39"/>
      <c r="H86" s="39">
        <f>SUM(H79:H85)</f>
        <v>1134159.29</v>
      </c>
      <c r="I86" s="39">
        <f>SUM(I79:I85)</f>
        <v>1130846.98</v>
      </c>
    </row>
    <row r="87" spans="3:9" hidden="1" x14ac:dyDescent="0.25"/>
    <row r="88" spans="3:9" hidden="1" x14ac:dyDescent="0.25"/>
    <row r="91" spans="3:9" ht="15.75" x14ac:dyDescent="0.25">
      <c r="D91" s="189" t="s">
        <v>150</v>
      </c>
      <c r="E91" s="189"/>
      <c r="F91" s="189"/>
      <c r="G91" s="189"/>
      <c r="H91" s="189"/>
      <c r="I91" s="189"/>
    </row>
    <row r="92" spans="3:9" ht="18" x14ac:dyDescent="0.25">
      <c r="D92" s="149"/>
      <c r="E92" s="149"/>
      <c r="F92" s="149"/>
      <c r="G92" s="149"/>
      <c r="H92" s="4"/>
      <c r="I92" s="4"/>
    </row>
    <row r="93" spans="3:9" ht="38.25" x14ac:dyDescent="0.25">
      <c r="D93" s="15" t="s">
        <v>101</v>
      </c>
      <c r="E93" s="15" t="s">
        <v>145</v>
      </c>
      <c r="F93" s="15" t="s">
        <v>146</v>
      </c>
      <c r="G93" s="15" t="s">
        <v>169</v>
      </c>
      <c r="H93" s="15" t="s">
        <v>140</v>
      </c>
      <c r="I93" s="15" t="s">
        <v>147</v>
      </c>
    </row>
    <row r="94" spans="3:9" x14ac:dyDescent="0.25">
      <c r="D94" s="123" t="s">
        <v>0</v>
      </c>
      <c r="E94" s="124">
        <v>848917.07</v>
      </c>
      <c r="F94" s="124">
        <f>F95+F105+F98+F100+F102</f>
        <v>1014651.84</v>
      </c>
      <c r="G94" s="124">
        <f>G95+G105+G98+G100+G102</f>
        <v>1262624.29</v>
      </c>
      <c r="H94" s="124">
        <f>H95+H105+H98+H100+H102</f>
        <v>1136449.29</v>
      </c>
      <c r="I94" s="124">
        <f>I95+I105+I98+I100+I102</f>
        <v>1133076.98</v>
      </c>
    </row>
    <row r="95" spans="3:9" x14ac:dyDescent="0.25">
      <c r="D95" s="125" t="s">
        <v>114</v>
      </c>
      <c r="E95" s="126">
        <f>E96+E97</f>
        <v>66161.919999999998</v>
      </c>
      <c r="F95" s="126">
        <f>F96+F97</f>
        <v>57351.200000000004</v>
      </c>
      <c r="G95" s="126">
        <f t="shared" ref="G95:I95" si="5">G96+G97</f>
        <v>185164.29</v>
      </c>
      <c r="H95" s="126">
        <f t="shared" si="5"/>
        <v>64289.289999999994</v>
      </c>
      <c r="I95" s="126">
        <f t="shared" si="5"/>
        <v>60916.979999999996</v>
      </c>
    </row>
    <row r="96" spans="3:9" x14ac:dyDescent="0.25">
      <c r="D96" s="9" t="s">
        <v>112</v>
      </c>
      <c r="E96" s="34">
        <f>E23</f>
        <v>38391.75</v>
      </c>
      <c r="F96" s="34">
        <f>F23+F27+F28</f>
        <v>20356.97</v>
      </c>
      <c r="G96" s="34">
        <v>149747.48000000001</v>
      </c>
      <c r="H96" s="34">
        <v>28872.48</v>
      </c>
      <c r="I96" s="34">
        <v>25500.17</v>
      </c>
    </row>
    <row r="97" spans="4:9" x14ac:dyDescent="0.25">
      <c r="D97" s="9" t="s">
        <v>113</v>
      </c>
      <c r="E97" s="34">
        <f>E29</f>
        <v>27770.17</v>
      </c>
      <c r="F97" s="34">
        <f>F29</f>
        <v>36994.230000000003</v>
      </c>
      <c r="G97" s="34">
        <v>35416.81</v>
      </c>
      <c r="H97" s="34">
        <f>G97</f>
        <v>35416.81</v>
      </c>
      <c r="I97" s="34">
        <f>H97</f>
        <v>35416.81</v>
      </c>
    </row>
    <row r="98" spans="4:9" x14ac:dyDescent="0.25">
      <c r="D98" s="125" t="s">
        <v>115</v>
      </c>
      <c r="E98" s="127">
        <f>E99</f>
        <v>187.82</v>
      </c>
      <c r="F98" s="127">
        <f t="shared" ref="F98:I98" si="6">F99</f>
        <v>255.66</v>
      </c>
      <c r="G98" s="127">
        <f t="shared" si="6"/>
        <v>130</v>
      </c>
      <c r="H98" s="127">
        <f t="shared" si="6"/>
        <v>130</v>
      </c>
      <c r="I98" s="127">
        <f t="shared" si="6"/>
        <v>130</v>
      </c>
    </row>
    <row r="99" spans="4:9" x14ac:dyDescent="0.25">
      <c r="D99" s="9" t="s">
        <v>134</v>
      </c>
      <c r="E99" s="34">
        <f>E50</f>
        <v>187.82</v>
      </c>
      <c r="F99" s="34">
        <f>F17+F20</f>
        <v>255.66</v>
      </c>
      <c r="G99" s="34">
        <v>130</v>
      </c>
      <c r="H99" s="34">
        <f>G99</f>
        <v>130</v>
      </c>
      <c r="I99" s="34">
        <f>H99</f>
        <v>130</v>
      </c>
    </row>
    <row r="100" spans="4:9" ht="18.75" customHeight="1" x14ac:dyDescent="0.25">
      <c r="D100" s="128" t="s">
        <v>116</v>
      </c>
      <c r="E100" s="129">
        <f>E101</f>
        <v>12725.06</v>
      </c>
      <c r="F100" s="129">
        <f t="shared" ref="F100:I100" si="7">F101</f>
        <v>10000</v>
      </c>
      <c r="G100" s="129">
        <f t="shared" si="7"/>
        <v>11400</v>
      </c>
      <c r="H100" s="129">
        <f t="shared" si="7"/>
        <v>7900</v>
      </c>
      <c r="I100" s="129">
        <f t="shared" si="7"/>
        <v>7900</v>
      </c>
    </row>
    <row r="101" spans="4:9" ht="18" customHeight="1" x14ac:dyDescent="0.25">
      <c r="D101" s="12" t="s">
        <v>117</v>
      </c>
      <c r="E101" s="98">
        <f>E18</f>
        <v>12725.06</v>
      </c>
      <c r="F101" s="34">
        <f>F18</f>
        <v>10000</v>
      </c>
      <c r="G101" s="34">
        <v>11400</v>
      </c>
      <c r="H101" s="34">
        <v>7900</v>
      </c>
      <c r="I101" s="34">
        <v>7900</v>
      </c>
    </row>
    <row r="102" spans="4:9" x14ac:dyDescent="0.25">
      <c r="D102" s="130" t="s">
        <v>118</v>
      </c>
      <c r="E102" s="129">
        <f>E103+E104</f>
        <v>769150.58</v>
      </c>
      <c r="F102" s="129">
        <f t="shared" ref="F102:I102" si="8">F103+F104</f>
        <v>946844.98</v>
      </c>
      <c r="G102" s="129">
        <f t="shared" si="8"/>
        <v>1065330</v>
      </c>
      <c r="H102" s="129">
        <f t="shared" si="8"/>
        <v>1063530</v>
      </c>
      <c r="I102" s="129">
        <f t="shared" si="8"/>
        <v>1063530</v>
      </c>
    </row>
    <row r="103" spans="4:9" x14ac:dyDescent="0.25">
      <c r="D103" s="9" t="s">
        <v>133</v>
      </c>
      <c r="E103" s="98">
        <f>E14</f>
        <v>765599.62</v>
      </c>
      <c r="F103" s="34">
        <f>F14</f>
        <v>946250</v>
      </c>
      <c r="G103" s="34">
        <v>1064330</v>
      </c>
      <c r="H103" s="34">
        <v>1062530</v>
      </c>
      <c r="I103" s="34">
        <v>1062530</v>
      </c>
    </row>
    <row r="104" spans="4:9" x14ac:dyDescent="0.25">
      <c r="D104" s="9" t="s">
        <v>119</v>
      </c>
      <c r="E104" s="98">
        <f>E15</f>
        <v>3550.96</v>
      </c>
      <c r="F104" s="34">
        <f>F15</f>
        <v>594.98</v>
      </c>
      <c r="G104" s="34">
        <v>1000</v>
      </c>
      <c r="H104" s="34">
        <v>1000</v>
      </c>
      <c r="I104" s="34">
        <v>1000</v>
      </c>
    </row>
    <row r="105" spans="4:9" x14ac:dyDescent="0.25">
      <c r="D105" s="125" t="s">
        <v>161</v>
      </c>
      <c r="E105" s="127">
        <f>E106</f>
        <v>757.55</v>
      </c>
      <c r="F105" s="127">
        <f t="shared" ref="F105:I105" si="9">F106</f>
        <v>200</v>
      </c>
      <c r="G105" s="127">
        <f t="shared" si="9"/>
        <v>600</v>
      </c>
      <c r="H105" s="127">
        <f t="shared" si="9"/>
        <v>600</v>
      </c>
      <c r="I105" s="127">
        <f t="shared" si="9"/>
        <v>600</v>
      </c>
    </row>
    <row r="106" spans="4:9" x14ac:dyDescent="0.25">
      <c r="D106" s="9" t="s">
        <v>160</v>
      </c>
      <c r="E106" s="34">
        <f>E21</f>
        <v>757.55</v>
      </c>
      <c r="F106" s="34">
        <f>F21</f>
        <v>200</v>
      </c>
      <c r="G106" s="34">
        <v>600</v>
      </c>
      <c r="H106" s="34">
        <v>600</v>
      </c>
      <c r="I106" s="34">
        <v>600</v>
      </c>
    </row>
    <row r="107" spans="4:9" x14ac:dyDescent="0.25">
      <c r="D107" s="121"/>
      <c r="E107" s="122"/>
      <c r="F107" s="122"/>
      <c r="G107" s="122"/>
      <c r="H107" s="122"/>
      <c r="I107" s="122"/>
    </row>
    <row r="108" spans="4:9" ht="18" x14ac:dyDescent="0.25">
      <c r="D108" s="149"/>
      <c r="E108" s="149"/>
      <c r="F108" s="149"/>
      <c r="G108" s="149"/>
      <c r="H108" s="4"/>
      <c r="I108" s="4"/>
    </row>
    <row r="109" spans="4:9" ht="38.25" x14ac:dyDescent="0.25">
      <c r="D109" s="15" t="s">
        <v>101</v>
      </c>
      <c r="E109" s="15" t="s">
        <v>145</v>
      </c>
      <c r="F109" s="15" t="s">
        <v>146</v>
      </c>
      <c r="G109" s="15" t="s">
        <v>169</v>
      </c>
      <c r="H109" s="15" t="s">
        <v>140</v>
      </c>
      <c r="I109" s="15" t="s">
        <v>147</v>
      </c>
    </row>
    <row r="110" spans="4:9" x14ac:dyDescent="0.25">
      <c r="D110" s="123" t="s">
        <v>1</v>
      </c>
      <c r="E110" s="131">
        <v>847028.32</v>
      </c>
      <c r="F110" s="132">
        <f>F111+F121+F114+F116+F118</f>
        <v>1026777.0499999999</v>
      </c>
      <c r="G110" s="133">
        <f>G111+G121+G114+G116+G118</f>
        <v>1259624.29</v>
      </c>
      <c r="H110" s="133">
        <f>H111+H121+H114+H116+H118</f>
        <v>1136449.29</v>
      </c>
      <c r="I110" s="133">
        <f>I111+I121+I114+I116+I118</f>
        <v>1133076.98</v>
      </c>
    </row>
    <row r="111" spans="4:9" x14ac:dyDescent="0.25">
      <c r="D111" s="125" t="s">
        <v>114</v>
      </c>
      <c r="E111" s="134">
        <f>E112+E113</f>
        <v>66161.919999999998</v>
      </c>
      <c r="F111" s="134">
        <f>F112+F113</f>
        <v>57351.200000000004</v>
      </c>
      <c r="G111" s="134">
        <f t="shared" ref="G111:I111" si="10">G112+G113</f>
        <v>185164.29</v>
      </c>
      <c r="H111" s="134">
        <f t="shared" si="10"/>
        <v>64289.289999999994</v>
      </c>
      <c r="I111" s="134">
        <f t="shared" si="10"/>
        <v>60916.979999999996</v>
      </c>
    </row>
    <row r="112" spans="4:9" ht="14.25" customHeight="1" x14ac:dyDescent="0.25">
      <c r="D112" s="9" t="s">
        <v>112</v>
      </c>
      <c r="E112" s="34">
        <v>38391.75</v>
      </c>
      <c r="F112" s="34">
        <f>F62+F58+F48+F44</f>
        <v>20356.97</v>
      </c>
      <c r="G112" s="34">
        <v>149747.48000000001</v>
      </c>
      <c r="H112" s="34">
        <v>28872.48</v>
      </c>
      <c r="I112" s="34">
        <v>25500.17</v>
      </c>
    </row>
    <row r="113" spans="4:9" x14ac:dyDescent="0.25">
      <c r="D113" s="9" t="s">
        <v>113</v>
      </c>
      <c r="E113" s="34">
        <v>27770.17</v>
      </c>
      <c r="F113" s="34">
        <f>F97</f>
        <v>36994.230000000003</v>
      </c>
      <c r="G113" s="34">
        <v>35416.81</v>
      </c>
      <c r="H113" s="34">
        <f>G113</f>
        <v>35416.81</v>
      </c>
      <c r="I113" s="34">
        <f>H113</f>
        <v>35416.81</v>
      </c>
    </row>
    <row r="114" spans="4:9" x14ac:dyDescent="0.25">
      <c r="D114" s="125" t="s">
        <v>137</v>
      </c>
      <c r="E114" s="127">
        <f>E115</f>
        <v>528.99</v>
      </c>
      <c r="F114" s="127">
        <f>F115</f>
        <v>284.56</v>
      </c>
      <c r="G114" s="127">
        <f t="shared" ref="G114:I114" si="11">G115</f>
        <v>130</v>
      </c>
      <c r="H114" s="127">
        <f t="shared" si="11"/>
        <v>130</v>
      </c>
      <c r="I114" s="127">
        <f t="shared" si="11"/>
        <v>130</v>
      </c>
    </row>
    <row r="115" spans="4:9" x14ac:dyDescent="0.25">
      <c r="D115" s="9" t="s">
        <v>134</v>
      </c>
      <c r="E115" s="34">
        <v>528.99</v>
      </c>
      <c r="F115" s="34">
        <f>F50</f>
        <v>284.56</v>
      </c>
      <c r="G115" s="34">
        <v>130</v>
      </c>
      <c r="H115" s="34">
        <v>130</v>
      </c>
      <c r="I115" s="34">
        <v>130</v>
      </c>
    </row>
    <row r="116" spans="4:9" ht="17.25" customHeight="1" x14ac:dyDescent="0.25">
      <c r="D116" s="128" t="s">
        <v>136</v>
      </c>
      <c r="E116" s="129">
        <f>E117</f>
        <v>17484.849999999999</v>
      </c>
      <c r="F116" s="127">
        <f>F117</f>
        <v>18183.7</v>
      </c>
      <c r="G116" s="127">
        <f t="shared" ref="G116:I116" si="12">G117</f>
        <v>11400</v>
      </c>
      <c r="H116" s="127">
        <f t="shared" si="12"/>
        <v>7900</v>
      </c>
      <c r="I116" s="127">
        <f t="shared" si="12"/>
        <v>7900</v>
      </c>
    </row>
    <row r="117" spans="4:9" ht="15" customHeight="1" x14ac:dyDescent="0.25">
      <c r="D117" s="12" t="s">
        <v>117</v>
      </c>
      <c r="E117" s="98">
        <v>17484.849999999999</v>
      </c>
      <c r="F117" s="34">
        <f>F71+F51</f>
        <v>18183.7</v>
      </c>
      <c r="G117" s="34">
        <v>11400</v>
      </c>
      <c r="H117" s="34">
        <v>7900</v>
      </c>
      <c r="I117" s="34">
        <v>7900</v>
      </c>
    </row>
    <row r="118" spans="4:9" x14ac:dyDescent="0.25">
      <c r="D118" s="130" t="s">
        <v>118</v>
      </c>
      <c r="E118" s="129">
        <f>E119+E120</f>
        <v>772239.3899999999</v>
      </c>
      <c r="F118" s="127">
        <f>F119+F120</f>
        <v>950300.08</v>
      </c>
      <c r="G118" s="127">
        <f t="shared" ref="G118:I118" si="13">G119+G120</f>
        <v>1062330</v>
      </c>
      <c r="H118" s="127">
        <f t="shared" si="13"/>
        <v>1063530</v>
      </c>
      <c r="I118" s="127">
        <f t="shared" si="13"/>
        <v>1063530</v>
      </c>
    </row>
    <row r="119" spans="4:9" x14ac:dyDescent="0.25">
      <c r="D119" s="9" t="s">
        <v>135</v>
      </c>
      <c r="E119" s="98">
        <v>768149.7</v>
      </c>
      <c r="F119" s="34">
        <f>F72+F65+F63+F59+F45+F52</f>
        <v>948800.08</v>
      </c>
      <c r="G119" s="34">
        <v>1061330</v>
      </c>
      <c r="H119" s="34">
        <v>1062530</v>
      </c>
      <c r="I119" s="34">
        <v>1062530</v>
      </c>
    </row>
    <row r="120" spans="4:9" x14ac:dyDescent="0.25">
      <c r="D120" s="9" t="s">
        <v>119</v>
      </c>
      <c r="E120" s="98">
        <v>4089.69</v>
      </c>
      <c r="F120" s="34">
        <f>F53</f>
        <v>1500</v>
      </c>
      <c r="G120" s="34">
        <v>1000</v>
      </c>
      <c r="H120" s="34">
        <v>1000</v>
      </c>
      <c r="I120" s="34">
        <v>1000</v>
      </c>
    </row>
    <row r="121" spans="4:9" x14ac:dyDescent="0.25">
      <c r="D121" s="125" t="s">
        <v>161</v>
      </c>
      <c r="E121" s="127">
        <f>E122</f>
        <v>765.75</v>
      </c>
      <c r="F121" s="127">
        <f>F122</f>
        <v>657.51</v>
      </c>
      <c r="G121" s="127">
        <f t="shared" ref="G121:I121" si="14">G122</f>
        <v>600</v>
      </c>
      <c r="H121" s="127">
        <f t="shared" si="14"/>
        <v>600</v>
      </c>
      <c r="I121" s="127">
        <f t="shared" si="14"/>
        <v>600</v>
      </c>
    </row>
    <row r="122" spans="4:9" x14ac:dyDescent="0.25">
      <c r="D122" s="9" t="s">
        <v>162</v>
      </c>
      <c r="E122" s="34">
        <v>765.75</v>
      </c>
      <c r="F122" s="34">
        <f>F55</f>
        <v>657.51</v>
      </c>
      <c r="G122" s="34">
        <v>600</v>
      </c>
      <c r="H122" s="34">
        <v>600</v>
      </c>
      <c r="I122" s="34">
        <v>600</v>
      </c>
    </row>
    <row r="128" spans="4:9" ht="15.75" x14ac:dyDescent="0.25">
      <c r="D128" s="189" t="s">
        <v>151</v>
      </c>
      <c r="E128" s="189"/>
      <c r="F128" s="213"/>
      <c r="G128" s="213"/>
      <c r="H128" s="213"/>
      <c r="I128" s="213"/>
    </row>
    <row r="129" spans="4:9" ht="18" x14ac:dyDescent="0.25">
      <c r="D129" s="149"/>
      <c r="E129" s="149"/>
      <c r="F129" s="149"/>
      <c r="G129" s="149"/>
      <c r="H129" s="4"/>
      <c r="I129" s="4"/>
    </row>
    <row r="130" spans="4:9" ht="38.25" x14ac:dyDescent="0.25">
      <c r="D130" s="15" t="s">
        <v>18</v>
      </c>
      <c r="E130" s="15" t="s">
        <v>145</v>
      </c>
      <c r="F130" s="15" t="s">
        <v>146</v>
      </c>
      <c r="G130" s="15" t="s">
        <v>169</v>
      </c>
      <c r="H130" s="15" t="s">
        <v>140</v>
      </c>
      <c r="I130" s="15" t="s">
        <v>147</v>
      </c>
    </row>
    <row r="131" spans="4:9" x14ac:dyDescent="0.25">
      <c r="D131" s="54" t="s">
        <v>19</v>
      </c>
      <c r="E131" s="78">
        <f>E132</f>
        <v>847028.32</v>
      </c>
      <c r="F131" s="51">
        <f>F132</f>
        <v>1026777.0499999999</v>
      </c>
      <c r="G131" s="51">
        <v>1265749.29</v>
      </c>
      <c r="H131" s="51">
        <v>1136449.29</v>
      </c>
      <c r="I131" s="51">
        <v>1133076.98</v>
      </c>
    </row>
    <row r="132" spans="4:9" x14ac:dyDescent="0.25">
      <c r="D132" s="128" t="s">
        <v>54</v>
      </c>
      <c r="E132" s="135">
        <f>E133+E134</f>
        <v>847028.32</v>
      </c>
      <c r="F132" s="127">
        <f>F133+F134</f>
        <v>1026777.0499999999</v>
      </c>
      <c r="G132" s="127">
        <f>G133+G134</f>
        <v>1265749.29</v>
      </c>
      <c r="H132" s="127">
        <f>H133+H134</f>
        <v>1136449.29</v>
      </c>
      <c r="I132" s="127">
        <f>I133+I134</f>
        <v>1133076.98</v>
      </c>
    </row>
    <row r="133" spans="4:9" ht="25.5" x14ac:dyDescent="0.25">
      <c r="D133" s="12" t="s">
        <v>55</v>
      </c>
      <c r="E133" s="96">
        <f>E110-E134</f>
        <v>829543.47</v>
      </c>
      <c r="F133" s="34">
        <v>1011493.35</v>
      </c>
      <c r="G133" s="34">
        <f>G131-G134</f>
        <v>1213849.29</v>
      </c>
      <c r="H133" s="34">
        <f>H131-H134</f>
        <v>1084549.29</v>
      </c>
      <c r="I133" s="34">
        <f>I131-I134</f>
        <v>1081176.98</v>
      </c>
    </row>
    <row r="134" spans="4:9" x14ac:dyDescent="0.25">
      <c r="D134" s="9" t="s">
        <v>59</v>
      </c>
      <c r="E134" s="79">
        <v>17484.849999999999</v>
      </c>
      <c r="F134" s="34">
        <v>15283.7</v>
      </c>
      <c r="G134" s="34">
        <f>11400+40500</f>
        <v>51900</v>
      </c>
      <c r="H134" s="34">
        <v>51900</v>
      </c>
      <c r="I134" s="34">
        <v>51900</v>
      </c>
    </row>
  </sheetData>
  <mergeCells count="10">
    <mergeCell ref="D91:I91"/>
    <mergeCell ref="D128:I128"/>
    <mergeCell ref="A1:I1"/>
    <mergeCell ref="B41:D41"/>
    <mergeCell ref="A8:I8"/>
    <mergeCell ref="A4:I4"/>
    <mergeCell ref="A6:I6"/>
    <mergeCell ref="B11:D11"/>
    <mergeCell ref="A37:D37"/>
    <mergeCell ref="A2:I2"/>
  </mergeCells>
  <pageMargins left="0.23622047244094491" right="0.23622047244094491" top="0.35433070866141736" bottom="0.35433070866141736" header="0.31496062992125984" footer="0.31496062992125984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opLeftCell="A7" workbookViewId="0">
      <selection activeCell="A6" sqref="A6:I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5" width="16.7109375" customWidth="1"/>
    <col min="6" max="6" width="16.5703125" customWidth="1"/>
    <col min="7" max="7" width="21.42578125" customWidth="1"/>
    <col min="8" max="8" width="18.5703125" customWidth="1"/>
    <col min="9" max="9" width="19" customWidth="1"/>
  </cols>
  <sheetData>
    <row r="1" spans="1:10" ht="26.25" customHeight="1" x14ac:dyDescent="0.25">
      <c r="A1" s="189" t="s">
        <v>180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21.75" customHeight="1" x14ac:dyDescent="0.25">
      <c r="A2" s="189" t="s">
        <v>148</v>
      </c>
      <c r="B2" s="189"/>
      <c r="C2" s="189"/>
      <c r="D2" s="189"/>
      <c r="E2" s="189"/>
      <c r="F2" s="189"/>
      <c r="G2" s="189"/>
      <c r="H2" s="189"/>
      <c r="I2" s="189"/>
    </row>
    <row r="3" spans="1:10" ht="18" customHeight="1" x14ac:dyDescent="0.25">
      <c r="A3" s="3"/>
      <c r="B3" s="3"/>
      <c r="C3" s="3"/>
      <c r="D3" s="3"/>
      <c r="E3" s="18"/>
      <c r="F3" s="3"/>
      <c r="G3" s="18"/>
      <c r="H3" s="3"/>
      <c r="I3" s="3"/>
    </row>
    <row r="4" spans="1:10" ht="15.75" x14ac:dyDescent="0.25">
      <c r="A4" s="189" t="s">
        <v>23</v>
      </c>
      <c r="B4" s="189"/>
      <c r="C4" s="189"/>
      <c r="D4" s="189"/>
      <c r="E4" s="189"/>
      <c r="F4" s="189"/>
      <c r="G4" s="189"/>
      <c r="H4" s="210"/>
      <c r="I4" s="210"/>
    </row>
    <row r="5" spans="1:10" ht="15.75" x14ac:dyDescent="0.25">
      <c r="A5" s="147"/>
      <c r="B5" s="147"/>
      <c r="C5" s="147"/>
      <c r="D5" s="147"/>
      <c r="E5" s="147"/>
      <c r="F5" s="147"/>
      <c r="G5" s="147"/>
      <c r="H5" s="148"/>
      <c r="I5" s="148"/>
    </row>
    <row r="6" spans="1:10" ht="31.5" customHeight="1" x14ac:dyDescent="0.25">
      <c r="A6" s="189" t="s">
        <v>152</v>
      </c>
      <c r="B6" s="189"/>
      <c r="C6" s="189"/>
      <c r="D6" s="189"/>
      <c r="E6" s="189"/>
      <c r="F6" s="189"/>
      <c r="G6" s="189"/>
      <c r="H6" s="189"/>
      <c r="I6" s="189"/>
    </row>
    <row r="7" spans="1:10" ht="18" x14ac:dyDescent="0.25">
      <c r="A7" s="3"/>
      <c r="B7" s="3"/>
      <c r="C7" s="3"/>
      <c r="D7" s="3"/>
      <c r="E7" s="18"/>
      <c r="F7" s="3"/>
      <c r="G7" s="18"/>
      <c r="H7" s="4"/>
      <c r="I7" s="4"/>
    </row>
    <row r="8" spans="1:10" ht="18" customHeight="1" x14ac:dyDescent="0.25">
      <c r="A8" s="189" t="s">
        <v>153</v>
      </c>
      <c r="B8" s="190"/>
      <c r="C8" s="190"/>
      <c r="D8" s="190"/>
      <c r="E8" s="190"/>
      <c r="F8" s="190"/>
      <c r="G8" s="190"/>
      <c r="H8" s="190"/>
      <c r="I8" s="190"/>
    </row>
    <row r="9" spans="1:10" ht="18" x14ac:dyDescent="0.25">
      <c r="A9" s="3"/>
      <c r="B9" s="3"/>
      <c r="C9" s="3"/>
      <c r="D9" s="3"/>
      <c r="E9" s="18"/>
      <c r="F9" s="3"/>
      <c r="G9" s="18"/>
      <c r="H9" s="4"/>
      <c r="I9" s="4"/>
    </row>
    <row r="10" spans="1:10" ht="26.25" customHeight="1" x14ac:dyDescent="0.25">
      <c r="A10" s="15" t="s">
        <v>8</v>
      </c>
      <c r="B10" s="14" t="s">
        <v>9</v>
      </c>
      <c r="C10" s="14" t="s">
        <v>10</v>
      </c>
      <c r="D10" s="14" t="s">
        <v>37</v>
      </c>
      <c r="E10" s="15" t="s">
        <v>145</v>
      </c>
      <c r="F10" s="15" t="s">
        <v>146</v>
      </c>
      <c r="G10" s="15" t="s">
        <v>169</v>
      </c>
      <c r="H10" s="15" t="s">
        <v>140</v>
      </c>
      <c r="I10" s="15" t="s">
        <v>147</v>
      </c>
    </row>
    <row r="11" spans="1:10" ht="25.5" x14ac:dyDescent="0.25">
      <c r="A11" s="54">
        <v>8</v>
      </c>
      <c r="B11" s="54"/>
      <c r="C11" s="54"/>
      <c r="D11" s="54" t="s">
        <v>20</v>
      </c>
      <c r="E11" s="174">
        <v>0</v>
      </c>
      <c r="F11" s="175">
        <v>0</v>
      </c>
      <c r="G11" s="175">
        <v>0</v>
      </c>
      <c r="H11" s="175">
        <v>0</v>
      </c>
      <c r="I11" s="175">
        <v>0</v>
      </c>
    </row>
    <row r="12" spans="1:10" x14ac:dyDescent="0.25">
      <c r="A12" s="7"/>
      <c r="B12" s="11">
        <v>84</v>
      </c>
      <c r="C12" s="11"/>
      <c r="D12" s="11" t="s">
        <v>27</v>
      </c>
      <c r="E12" s="172">
        <v>0</v>
      </c>
      <c r="F12" s="168">
        <v>0</v>
      </c>
      <c r="G12" s="168">
        <v>0</v>
      </c>
      <c r="H12" s="168">
        <v>0</v>
      </c>
      <c r="I12" s="168">
        <v>0</v>
      </c>
    </row>
    <row r="13" spans="1:10" ht="25.5" x14ac:dyDescent="0.25">
      <c r="A13" s="8"/>
      <c r="B13" s="8"/>
      <c r="C13" s="9">
        <v>81</v>
      </c>
      <c r="D13" s="12" t="s">
        <v>28</v>
      </c>
      <c r="E13" s="173">
        <v>0</v>
      </c>
      <c r="F13" s="169">
        <v>0</v>
      </c>
      <c r="G13" s="169">
        <v>0</v>
      </c>
      <c r="H13" s="169">
        <v>0</v>
      </c>
      <c r="I13" s="169">
        <v>0</v>
      </c>
    </row>
    <row r="14" spans="1:10" ht="25.5" x14ac:dyDescent="0.25">
      <c r="A14" s="176">
        <v>5</v>
      </c>
      <c r="B14" s="177"/>
      <c r="C14" s="177"/>
      <c r="D14" s="125" t="s">
        <v>21</v>
      </c>
      <c r="E14" s="178">
        <v>0</v>
      </c>
      <c r="F14" s="179">
        <v>0</v>
      </c>
      <c r="G14" s="179">
        <v>0</v>
      </c>
      <c r="H14" s="179">
        <v>0</v>
      </c>
      <c r="I14" s="179">
        <v>0</v>
      </c>
    </row>
    <row r="15" spans="1:10" ht="25.5" x14ac:dyDescent="0.25">
      <c r="A15" s="11"/>
      <c r="B15" s="11">
        <v>54</v>
      </c>
      <c r="C15" s="11"/>
      <c r="D15" s="20" t="s">
        <v>29</v>
      </c>
      <c r="E15" s="172">
        <v>0</v>
      </c>
      <c r="F15" s="168">
        <v>0</v>
      </c>
      <c r="G15" s="168">
        <v>0</v>
      </c>
      <c r="H15" s="168">
        <v>0</v>
      </c>
      <c r="I15" s="168">
        <v>0</v>
      </c>
    </row>
    <row r="16" spans="1:10" x14ac:dyDescent="0.25">
      <c r="A16" s="11"/>
      <c r="B16" s="11"/>
      <c r="C16" s="9">
        <v>11</v>
      </c>
      <c r="D16" s="9" t="s">
        <v>12</v>
      </c>
      <c r="E16" s="173">
        <v>0</v>
      </c>
      <c r="F16" s="169">
        <v>0</v>
      </c>
      <c r="G16" s="169">
        <v>0</v>
      </c>
      <c r="H16" s="169">
        <v>0</v>
      </c>
      <c r="I16" s="169">
        <v>0</v>
      </c>
    </row>
    <row r="17" spans="1:9" x14ac:dyDescent="0.25">
      <c r="A17" s="11"/>
      <c r="B17" s="11"/>
      <c r="C17" s="9">
        <v>31</v>
      </c>
      <c r="D17" s="9" t="s">
        <v>30</v>
      </c>
      <c r="E17" s="173">
        <v>0</v>
      </c>
      <c r="F17" s="169">
        <v>0</v>
      </c>
      <c r="G17" s="169">
        <v>0</v>
      </c>
      <c r="H17" s="169">
        <v>0</v>
      </c>
      <c r="I17" s="169">
        <v>0</v>
      </c>
    </row>
    <row r="22" spans="1:9" ht="15.75" customHeight="1" x14ac:dyDescent="0.25">
      <c r="A22" s="189" t="s">
        <v>154</v>
      </c>
      <c r="B22" s="189"/>
      <c r="C22" s="189"/>
      <c r="D22" s="189"/>
      <c r="E22" s="189"/>
      <c r="F22" s="189"/>
      <c r="G22" s="189"/>
      <c r="H22" s="189"/>
      <c r="I22" s="189"/>
    </row>
    <row r="23" spans="1:9" ht="18" x14ac:dyDescent="0.25">
      <c r="D23" s="149"/>
      <c r="E23" s="149"/>
      <c r="F23" s="149"/>
      <c r="G23" s="149"/>
      <c r="H23" s="4"/>
      <c r="I23" s="4"/>
    </row>
    <row r="24" spans="1:9" ht="25.5" x14ac:dyDescent="0.25">
      <c r="D24" s="15" t="s">
        <v>101</v>
      </c>
      <c r="E24" s="15" t="s">
        <v>145</v>
      </c>
      <c r="F24" s="15" t="s">
        <v>146</v>
      </c>
      <c r="G24" s="15" t="s">
        <v>169</v>
      </c>
      <c r="H24" s="15" t="s">
        <v>140</v>
      </c>
      <c r="I24" s="15" t="s">
        <v>147</v>
      </c>
    </row>
    <row r="25" spans="1:9" x14ac:dyDescent="0.25">
      <c r="D25" s="54" t="s">
        <v>106</v>
      </c>
      <c r="E25" s="174">
        <v>0</v>
      </c>
      <c r="F25" s="175">
        <v>0</v>
      </c>
      <c r="G25" s="175">
        <v>0</v>
      </c>
      <c r="H25" s="175">
        <v>0</v>
      </c>
      <c r="I25" s="175">
        <v>0</v>
      </c>
    </row>
    <row r="26" spans="1:9" ht="25.5" x14ac:dyDescent="0.25">
      <c r="D26" s="128" t="s">
        <v>107</v>
      </c>
      <c r="E26" s="178">
        <v>0</v>
      </c>
      <c r="F26" s="179">
        <v>0</v>
      </c>
      <c r="G26" s="179">
        <v>0</v>
      </c>
      <c r="H26" s="179">
        <v>0</v>
      </c>
      <c r="I26" s="179">
        <v>0</v>
      </c>
    </row>
    <row r="27" spans="1:9" ht="25.5" x14ac:dyDescent="0.25">
      <c r="D27" s="12" t="s">
        <v>108</v>
      </c>
      <c r="E27" s="173">
        <v>0</v>
      </c>
      <c r="F27" s="169">
        <v>0</v>
      </c>
      <c r="G27" s="169">
        <v>0</v>
      </c>
      <c r="H27" s="169">
        <v>0</v>
      </c>
      <c r="I27" s="169">
        <v>0</v>
      </c>
    </row>
    <row r="28" spans="1:9" x14ac:dyDescent="0.25">
      <c r="D28" s="12"/>
      <c r="E28" s="67"/>
      <c r="F28" s="6"/>
      <c r="G28" s="6"/>
      <c r="H28" s="6"/>
      <c r="I28" s="6"/>
    </row>
    <row r="29" spans="1:9" x14ac:dyDescent="0.25">
      <c r="D29" s="54" t="s">
        <v>109</v>
      </c>
      <c r="E29" s="174">
        <v>0</v>
      </c>
      <c r="F29" s="175">
        <v>0</v>
      </c>
      <c r="G29" s="175">
        <v>0</v>
      </c>
      <c r="H29" s="175">
        <v>0</v>
      </c>
      <c r="I29" s="175">
        <v>0</v>
      </c>
    </row>
    <row r="30" spans="1:9" x14ac:dyDescent="0.25">
      <c r="D30" s="19" t="s">
        <v>102</v>
      </c>
      <c r="E30" s="171">
        <v>0</v>
      </c>
      <c r="F30" s="170">
        <v>0</v>
      </c>
      <c r="G30" s="170">
        <v>0</v>
      </c>
      <c r="H30" s="170">
        <v>0</v>
      </c>
      <c r="I30" s="170">
        <v>0</v>
      </c>
    </row>
    <row r="31" spans="1:9" x14ac:dyDescent="0.25">
      <c r="D31" s="9" t="s">
        <v>103</v>
      </c>
      <c r="E31" s="173">
        <v>0</v>
      </c>
      <c r="F31" s="169">
        <v>0</v>
      </c>
      <c r="G31" s="169">
        <v>0</v>
      </c>
      <c r="H31" s="169">
        <v>0</v>
      </c>
      <c r="I31" s="169">
        <v>0</v>
      </c>
    </row>
    <row r="32" spans="1:9" x14ac:dyDescent="0.25">
      <c r="D32" s="19" t="s">
        <v>104</v>
      </c>
      <c r="E32" s="171">
        <v>0</v>
      </c>
      <c r="F32" s="170">
        <v>0</v>
      </c>
      <c r="G32" s="170">
        <v>0</v>
      </c>
      <c r="H32" s="170">
        <v>0</v>
      </c>
      <c r="I32" s="170">
        <v>0</v>
      </c>
    </row>
    <row r="33" spans="4:9" x14ac:dyDescent="0.25">
      <c r="D33" s="9" t="s">
        <v>105</v>
      </c>
      <c r="E33" s="173">
        <v>0</v>
      </c>
      <c r="F33" s="169">
        <v>0</v>
      </c>
      <c r="G33" s="169">
        <v>0</v>
      </c>
      <c r="H33" s="169">
        <v>0</v>
      </c>
      <c r="I33" s="169">
        <v>0</v>
      </c>
    </row>
  </sheetData>
  <mergeCells count="6">
    <mergeCell ref="A1:J1"/>
    <mergeCell ref="A22:I22"/>
    <mergeCell ref="A4:I4"/>
    <mergeCell ref="A8:I8"/>
    <mergeCell ref="A2:I2"/>
    <mergeCell ref="A6:I6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topLeftCell="A37" zoomScaleNormal="100" workbookViewId="0">
      <selection activeCell="G18" sqref="G1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7.85546875" customWidth="1"/>
    <col min="5" max="5" width="18" style="32" customWidth="1"/>
    <col min="6" max="6" width="18.28515625" customWidth="1"/>
    <col min="7" max="7" width="21.42578125" customWidth="1"/>
    <col min="8" max="8" width="19.28515625" customWidth="1"/>
    <col min="9" max="9" width="19.5703125" customWidth="1"/>
  </cols>
  <sheetData>
    <row r="1" spans="1:10" ht="15.75" customHeight="1" x14ac:dyDescent="0.25">
      <c r="A1" s="189" t="s">
        <v>180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20.25" customHeight="1" x14ac:dyDescent="0.25">
      <c r="A2" s="189" t="s">
        <v>148</v>
      </c>
      <c r="B2" s="189"/>
      <c r="C2" s="189"/>
      <c r="D2" s="189"/>
      <c r="E2" s="189"/>
      <c r="F2" s="189"/>
      <c r="G2" s="189"/>
      <c r="H2" s="189"/>
      <c r="I2" s="189"/>
    </row>
    <row r="3" spans="1:10" ht="18" x14ac:dyDescent="0.25">
      <c r="A3" s="3"/>
      <c r="B3" s="3"/>
      <c r="C3" s="3"/>
      <c r="D3" s="3"/>
      <c r="E3" s="30"/>
      <c r="F3" s="3"/>
      <c r="G3" s="18"/>
      <c r="H3" s="4"/>
      <c r="I3" s="4"/>
    </row>
    <row r="4" spans="1:10" ht="18" customHeight="1" x14ac:dyDescent="0.25">
      <c r="A4" s="189" t="s">
        <v>22</v>
      </c>
      <c r="B4" s="190"/>
      <c r="C4" s="190"/>
      <c r="D4" s="190"/>
      <c r="E4" s="190"/>
      <c r="F4" s="190"/>
      <c r="G4" s="190"/>
      <c r="H4" s="190"/>
      <c r="I4" s="190"/>
    </row>
    <row r="5" spans="1:10" ht="18" x14ac:dyDescent="0.25">
      <c r="A5" s="3"/>
      <c r="B5" s="3"/>
      <c r="C5" s="3"/>
      <c r="D5" s="3"/>
      <c r="E5" s="30"/>
      <c r="F5" s="3"/>
      <c r="G5" s="18"/>
      <c r="H5" s="4"/>
      <c r="I5" s="4"/>
    </row>
    <row r="6" spans="1:10" ht="30" customHeight="1" x14ac:dyDescent="0.25">
      <c r="A6" s="214" t="s">
        <v>24</v>
      </c>
      <c r="B6" s="242"/>
      <c r="C6" s="243"/>
      <c r="D6" s="40" t="s">
        <v>25</v>
      </c>
      <c r="E6" s="15" t="s">
        <v>145</v>
      </c>
      <c r="F6" s="15" t="s">
        <v>146</v>
      </c>
      <c r="G6" s="15" t="s">
        <v>169</v>
      </c>
      <c r="H6" s="15" t="s">
        <v>140</v>
      </c>
      <c r="I6" s="15" t="s">
        <v>147</v>
      </c>
    </row>
    <row r="7" spans="1:10" ht="18.75" customHeight="1" x14ac:dyDescent="0.25">
      <c r="A7" s="245" t="s">
        <v>60</v>
      </c>
      <c r="B7" s="246"/>
      <c r="C7" s="247"/>
      <c r="D7" s="139" t="s">
        <v>61</v>
      </c>
      <c r="E7" s="140">
        <v>848917.07</v>
      </c>
      <c r="F7" s="141">
        <f>F8+F18+F55</f>
        <v>1026777.0499999999</v>
      </c>
      <c r="G7" s="141">
        <f>G8+G18+G55</f>
        <v>1250624.29</v>
      </c>
      <c r="H7" s="141">
        <f>H8+H18+H55</f>
        <v>1136949.29</v>
      </c>
      <c r="I7" s="141">
        <f>I8+I18+I55</f>
        <v>1125276.98</v>
      </c>
    </row>
    <row r="8" spans="1:10" ht="27" customHeight="1" x14ac:dyDescent="0.25">
      <c r="A8" s="230" t="s">
        <v>70</v>
      </c>
      <c r="B8" s="231"/>
      <c r="C8" s="232"/>
      <c r="D8" s="136" t="s">
        <v>71</v>
      </c>
      <c r="E8" s="137">
        <f>E9+E14</f>
        <v>27770.170000000002</v>
      </c>
      <c r="F8" s="138">
        <f>F10+F15</f>
        <v>36994.230000000003</v>
      </c>
      <c r="G8" s="138">
        <f t="shared" ref="G8:H8" si="0">G10+G15</f>
        <v>35416.81</v>
      </c>
      <c r="H8" s="138">
        <f t="shared" si="0"/>
        <v>35416.81</v>
      </c>
      <c r="I8" s="138">
        <f t="shared" ref="I8" si="1">I10+I15</f>
        <v>35416.81</v>
      </c>
    </row>
    <row r="9" spans="1:10" ht="33" customHeight="1" x14ac:dyDescent="0.25">
      <c r="A9" s="236" t="s">
        <v>72</v>
      </c>
      <c r="B9" s="237"/>
      <c r="C9" s="238"/>
      <c r="D9" s="142" t="s">
        <v>62</v>
      </c>
      <c r="E9" s="143">
        <f>E10</f>
        <v>27770.170000000002</v>
      </c>
      <c r="F9" s="127">
        <f>F10</f>
        <v>36294.230000000003</v>
      </c>
      <c r="G9" s="127">
        <f t="shared" ref="G9:I9" si="2">G10</f>
        <v>34666.81</v>
      </c>
      <c r="H9" s="127">
        <f t="shared" si="2"/>
        <v>34666.81</v>
      </c>
      <c r="I9" s="127">
        <f t="shared" si="2"/>
        <v>34666.81</v>
      </c>
    </row>
    <row r="10" spans="1:10" x14ac:dyDescent="0.25">
      <c r="A10" s="227" t="s">
        <v>73</v>
      </c>
      <c r="B10" s="228"/>
      <c r="C10" s="229"/>
      <c r="D10" s="46" t="s">
        <v>44</v>
      </c>
      <c r="E10" s="114">
        <f>E11</f>
        <v>27770.170000000002</v>
      </c>
      <c r="F10" s="34">
        <v>36294.230000000003</v>
      </c>
      <c r="G10" s="34">
        <f>G11</f>
        <v>34666.81</v>
      </c>
      <c r="H10" s="34">
        <f>G10</f>
        <v>34666.81</v>
      </c>
      <c r="I10" s="34">
        <f>H10</f>
        <v>34666.81</v>
      </c>
    </row>
    <row r="11" spans="1:10" x14ac:dyDescent="0.25">
      <c r="A11" s="218">
        <v>3</v>
      </c>
      <c r="B11" s="219"/>
      <c r="C11" s="220"/>
      <c r="D11" s="41" t="s">
        <v>15</v>
      </c>
      <c r="E11" s="114">
        <f>E12+E13</f>
        <v>27770.170000000002</v>
      </c>
      <c r="F11" s="34">
        <v>35464.230000000003</v>
      </c>
      <c r="G11" s="34">
        <f>G12+G13</f>
        <v>34666.81</v>
      </c>
      <c r="H11" s="34">
        <f>H12+H13</f>
        <v>34666.81</v>
      </c>
      <c r="I11" s="34">
        <f>I12+I13</f>
        <v>34666.81</v>
      </c>
    </row>
    <row r="12" spans="1:10" x14ac:dyDescent="0.25">
      <c r="A12" s="221">
        <v>32</v>
      </c>
      <c r="B12" s="222"/>
      <c r="C12" s="223"/>
      <c r="D12" s="41" t="s">
        <v>26</v>
      </c>
      <c r="E12" s="114">
        <v>27282.02</v>
      </c>
      <c r="F12" s="34">
        <f>830-F13</f>
        <v>464.54</v>
      </c>
      <c r="G12" s="34">
        <f>35416.81-G13-G17</f>
        <v>33821.81</v>
      </c>
      <c r="H12" s="34">
        <f>35416.81-H13-H17</f>
        <v>33821.81</v>
      </c>
      <c r="I12" s="34">
        <f>35416.81-I13-I17</f>
        <v>33821.81</v>
      </c>
    </row>
    <row r="13" spans="1:10" ht="15" customHeight="1" x14ac:dyDescent="0.25">
      <c r="A13" s="221">
        <v>34</v>
      </c>
      <c r="B13" s="222"/>
      <c r="C13" s="223"/>
      <c r="D13" s="41" t="s">
        <v>50</v>
      </c>
      <c r="E13" s="114">
        <v>488.15</v>
      </c>
      <c r="F13" s="34">
        <v>365.46</v>
      </c>
      <c r="G13" s="34">
        <f>845</f>
        <v>845</v>
      </c>
      <c r="H13" s="34">
        <f>845</f>
        <v>845</v>
      </c>
      <c r="I13" s="34">
        <f>845</f>
        <v>845</v>
      </c>
    </row>
    <row r="14" spans="1:10" ht="28.9" customHeight="1" x14ac:dyDescent="0.25">
      <c r="A14" s="236" t="s">
        <v>74</v>
      </c>
      <c r="B14" s="237"/>
      <c r="C14" s="238"/>
      <c r="D14" s="142" t="s">
        <v>75</v>
      </c>
      <c r="E14" s="143">
        <f t="shared" ref="E14:F14" si="3">E15</f>
        <v>0</v>
      </c>
      <c r="F14" s="127">
        <f t="shared" si="3"/>
        <v>700</v>
      </c>
      <c r="G14" s="127">
        <f t="shared" ref="G14" si="4">G15</f>
        <v>750</v>
      </c>
      <c r="H14" s="127">
        <f t="shared" ref="H14:I16" si="5">H15</f>
        <v>750</v>
      </c>
      <c r="I14" s="127">
        <f t="shared" si="5"/>
        <v>750</v>
      </c>
    </row>
    <row r="15" spans="1:10" ht="15" customHeight="1" x14ac:dyDescent="0.25">
      <c r="A15" s="227" t="s">
        <v>73</v>
      </c>
      <c r="B15" s="228"/>
      <c r="C15" s="229"/>
      <c r="D15" s="46" t="s">
        <v>44</v>
      </c>
      <c r="E15" s="113">
        <v>0</v>
      </c>
      <c r="F15" s="34">
        <v>700</v>
      </c>
      <c r="G15" s="34">
        <f>G16</f>
        <v>750</v>
      </c>
      <c r="H15" s="34">
        <f t="shared" si="5"/>
        <v>750</v>
      </c>
      <c r="I15" s="34">
        <f t="shared" si="5"/>
        <v>750</v>
      </c>
    </row>
    <row r="16" spans="1:10" ht="25.5" x14ac:dyDescent="0.25">
      <c r="A16" s="218">
        <v>4</v>
      </c>
      <c r="B16" s="219"/>
      <c r="C16" s="220"/>
      <c r="D16" s="41" t="s">
        <v>17</v>
      </c>
      <c r="E16" s="114">
        <v>0</v>
      </c>
      <c r="F16" s="34">
        <v>700</v>
      </c>
      <c r="G16" s="34">
        <f>G17</f>
        <v>750</v>
      </c>
      <c r="H16" s="34">
        <f t="shared" si="5"/>
        <v>750</v>
      </c>
      <c r="I16" s="34">
        <f t="shared" si="5"/>
        <v>750</v>
      </c>
    </row>
    <row r="17" spans="1:9" ht="25.5" x14ac:dyDescent="0.25">
      <c r="A17" s="221">
        <v>42</v>
      </c>
      <c r="B17" s="222"/>
      <c r="C17" s="223"/>
      <c r="D17" s="41" t="s">
        <v>36</v>
      </c>
      <c r="E17" s="114">
        <v>0</v>
      </c>
      <c r="F17" s="34">
        <v>700</v>
      </c>
      <c r="G17" s="34">
        <v>750</v>
      </c>
      <c r="H17" s="34">
        <v>750</v>
      </c>
      <c r="I17" s="34">
        <v>750</v>
      </c>
    </row>
    <row r="18" spans="1:9" ht="42" customHeight="1" x14ac:dyDescent="0.25">
      <c r="A18" s="230" t="s">
        <v>166</v>
      </c>
      <c r="B18" s="231"/>
      <c r="C18" s="232"/>
      <c r="D18" s="136" t="s">
        <v>77</v>
      </c>
      <c r="E18" s="137">
        <f>E19+E29+E33+E46</f>
        <v>38391.75</v>
      </c>
      <c r="F18" s="138">
        <v>20356.97</v>
      </c>
      <c r="G18" s="138">
        <f>G19+G29+G33</f>
        <v>136747.48000000001</v>
      </c>
      <c r="H18" s="138">
        <f>H19+H29+H33</f>
        <v>25372.480000000003</v>
      </c>
      <c r="I18" s="138">
        <f>I19+I29+I33</f>
        <v>12500.169999999998</v>
      </c>
    </row>
    <row r="19" spans="1:9" ht="25.5" customHeight="1" x14ac:dyDescent="0.25">
      <c r="A19" s="236" t="s">
        <v>89</v>
      </c>
      <c r="B19" s="237"/>
      <c r="C19" s="238"/>
      <c r="D19" s="142" t="s">
        <v>141</v>
      </c>
      <c r="E19" s="143">
        <f>E20</f>
        <v>29791.06</v>
      </c>
      <c r="F19" s="127">
        <f>F20+F26</f>
        <v>7710.99</v>
      </c>
      <c r="G19" s="127">
        <f>G20</f>
        <v>123977.5</v>
      </c>
      <c r="H19" s="127">
        <f>H20+H26</f>
        <v>12602.5</v>
      </c>
      <c r="I19" s="127">
        <f>I20+I26</f>
        <v>3042.5</v>
      </c>
    </row>
    <row r="20" spans="1:9" x14ac:dyDescent="0.25">
      <c r="A20" s="227" t="s">
        <v>78</v>
      </c>
      <c r="B20" s="228"/>
      <c r="C20" s="229"/>
      <c r="D20" s="46" t="s">
        <v>12</v>
      </c>
      <c r="E20" s="113">
        <f>E21</f>
        <v>29791.06</v>
      </c>
      <c r="F20" s="34">
        <f>F21</f>
        <v>7710.99</v>
      </c>
      <c r="G20" s="34">
        <f>G21+G26</f>
        <v>123977.5</v>
      </c>
      <c r="H20" s="34">
        <f>H21+H26</f>
        <v>12602.5</v>
      </c>
      <c r="I20" s="34">
        <f>I21+I26</f>
        <v>3042.5</v>
      </c>
    </row>
    <row r="21" spans="1:9" x14ac:dyDescent="0.25">
      <c r="A21" s="218">
        <v>3</v>
      </c>
      <c r="B21" s="219"/>
      <c r="C21" s="220"/>
      <c r="D21" s="41" t="s">
        <v>15</v>
      </c>
      <c r="E21" s="114">
        <f>E22+E24+E25</f>
        <v>29791.06</v>
      </c>
      <c r="F21" s="34">
        <f>F22+F25</f>
        <v>7710.99</v>
      </c>
      <c r="G21" s="34">
        <f>G22+G24+G25</f>
        <v>3102.5</v>
      </c>
      <c r="H21" s="34">
        <v>12602.5</v>
      </c>
      <c r="I21" s="34">
        <f>I22+I25</f>
        <v>3042.5</v>
      </c>
    </row>
    <row r="22" spans="1:9" ht="12.75" customHeight="1" x14ac:dyDescent="0.25">
      <c r="A22" s="221">
        <v>32</v>
      </c>
      <c r="B22" s="222"/>
      <c r="C22" s="223"/>
      <c r="D22" s="41" t="s">
        <v>26</v>
      </c>
      <c r="E22" s="114">
        <v>29791.06</v>
      </c>
      <c r="F22" s="34">
        <v>6311.99</v>
      </c>
      <c r="G22" s="34">
        <f>450+100+100+112.5+450</f>
        <v>1212.5</v>
      </c>
      <c r="H22" s="34">
        <f>450+100+100+112.5+450</f>
        <v>1212.5</v>
      </c>
      <c r="I22" s="34">
        <f>450+100+100+112.5+450</f>
        <v>1212.5</v>
      </c>
    </row>
    <row r="23" spans="1:9" ht="20.25" hidden="1" customHeight="1" x14ac:dyDescent="0.25">
      <c r="A23" s="239" t="s">
        <v>79</v>
      </c>
      <c r="B23" s="240"/>
      <c r="C23" s="241"/>
      <c r="D23" s="45" t="s">
        <v>80</v>
      </c>
      <c r="E23" s="112"/>
      <c r="F23" s="60"/>
      <c r="G23" s="60"/>
      <c r="H23" s="60"/>
      <c r="I23" s="60"/>
    </row>
    <row r="24" spans="1:9" ht="14.25" customHeight="1" x14ac:dyDescent="0.25">
      <c r="A24" s="221">
        <v>34</v>
      </c>
      <c r="B24" s="222"/>
      <c r="C24" s="223"/>
      <c r="D24" s="71" t="s">
        <v>50</v>
      </c>
      <c r="E24" s="114">
        <v>0</v>
      </c>
      <c r="F24" s="34">
        <v>0</v>
      </c>
      <c r="G24" s="34">
        <v>0</v>
      </c>
      <c r="H24" s="34">
        <v>0</v>
      </c>
      <c r="I24" s="34">
        <v>0</v>
      </c>
    </row>
    <row r="25" spans="1:9" ht="23.25" customHeight="1" x14ac:dyDescent="0.25">
      <c r="A25" s="221">
        <v>37</v>
      </c>
      <c r="B25" s="222"/>
      <c r="C25" s="223"/>
      <c r="D25" s="150" t="s">
        <v>157</v>
      </c>
      <c r="E25" s="114">
        <v>0</v>
      </c>
      <c r="F25" s="34">
        <v>1399</v>
      </c>
      <c r="G25" s="34">
        <f>180+750+500+460</f>
        <v>1890</v>
      </c>
      <c r="H25" s="34">
        <f>180+750+500+460</f>
        <v>1890</v>
      </c>
      <c r="I25" s="34">
        <f>180+750+500+400</f>
        <v>1830</v>
      </c>
    </row>
    <row r="26" spans="1:9" ht="17.25" customHeight="1" x14ac:dyDescent="0.25">
      <c r="A26" s="218">
        <v>4</v>
      </c>
      <c r="B26" s="219"/>
      <c r="C26" s="220"/>
      <c r="D26" s="71" t="s">
        <v>143</v>
      </c>
      <c r="E26" s="114">
        <v>0</v>
      </c>
      <c r="F26" s="34">
        <v>0</v>
      </c>
      <c r="G26" s="34">
        <f>G27</f>
        <v>120875</v>
      </c>
      <c r="H26" s="34">
        <f>H27</f>
        <v>0</v>
      </c>
      <c r="I26" s="34">
        <f>I27</f>
        <v>0</v>
      </c>
    </row>
    <row r="27" spans="1:9" ht="24.75" customHeight="1" x14ac:dyDescent="0.25">
      <c r="A27" s="221">
        <v>42</v>
      </c>
      <c r="B27" s="222"/>
      <c r="C27" s="223"/>
      <c r="D27" s="71" t="s">
        <v>36</v>
      </c>
      <c r="E27" s="114">
        <v>0</v>
      </c>
      <c r="F27" s="34">
        <v>0</v>
      </c>
      <c r="G27" s="34">
        <v>120875</v>
      </c>
      <c r="H27" s="34">
        <v>0</v>
      </c>
      <c r="I27" s="34">
        <v>0</v>
      </c>
    </row>
    <row r="28" spans="1:9" ht="24.75" customHeight="1" x14ac:dyDescent="0.25">
      <c r="A28" s="221">
        <v>45</v>
      </c>
      <c r="B28" s="222"/>
      <c r="C28" s="223"/>
      <c r="D28" s="72" t="s">
        <v>144</v>
      </c>
      <c r="E28" s="114">
        <v>0</v>
      </c>
      <c r="F28" s="34">
        <v>0</v>
      </c>
      <c r="G28" s="34">
        <v>0</v>
      </c>
      <c r="H28" s="34">
        <v>0</v>
      </c>
      <c r="I28" s="34">
        <v>0</v>
      </c>
    </row>
    <row r="29" spans="1:9" ht="24.75" customHeight="1" x14ac:dyDescent="0.25">
      <c r="A29" s="236" t="s">
        <v>74</v>
      </c>
      <c r="B29" s="237"/>
      <c r="C29" s="238"/>
      <c r="D29" s="142" t="s">
        <v>81</v>
      </c>
      <c r="E29" s="143">
        <f t="shared" ref="E29:F29" si="6">E30</f>
        <v>1154.1600000000001</v>
      </c>
      <c r="F29" s="127">
        <f t="shared" si="6"/>
        <v>750</v>
      </c>
      <c r="G29" s="127">
        <f t="shared" ref="G29:G31" si="7">G30</f>
        <v>750</v>
      </c>
      <c r="H29" s="127">
        <f t="shared" ref="H29:I31" si="8">H30</f>
        <v>750</v>
      </c>
      <c r="I29" s="127">
        <f t="shared" si="8"/>
        <v>750</v>
      </c>
    </row>
    <row r="30" spans="1:9" x14ac:dyDescent="0.25">
      <c r="A30" s="227" t="s">
        <v>78</v>
      </c>
      <c r="B30" s="228"/>
      <c r="C30" s="229"/>
      <c r="D30" s="46" t="s">
        <v>12</v>
      </c>
      <c r="E30" s="114">
        <f>E31</f>
        <v>1154.1600000000001</v>
      </c>
      <c r="F30" s="34">
        <f>F31</f>
        <v>750</v>
      </c>
      <c r="G30" s="34">
        <f t="shared" si="7"/>
        <v>750</v>
      </c>
      <c r="H30" s="34">
        <f t="shared" si="8"/>
        <v>750</v>
      </c>
      <c r="I30" s="34">
        <f t="shared" si="8"/>
        <v>750</v>
      </c>
    </row>
    <row r="31" spans="1:9" x14ac:dyDescent="0.25">
      <c r="A31" s="218">
        <v>3</v>
      </c>
      <c r="B31" s="219"/>
      <c r="C31" s="220"/>
      <c r="D31" s="41" t="s">
        <v>15</v>
      </c>
      <c r="E31" s="114">
        <f>E32</f>
        <v>1154.1600000000001</v>
      </c>
      <c r="F31" s="34">
        <f>F32</f>
        <v>750</v>
      </c>
      <c r="G31" s="34">
        <f t="shared" si="7"/>
        <v>750</v>
      </c>
      <c r="H31" s="34">
        <f t="shared" si="8"/>
        <v>750</v>
      </c>
      <c r="I31" s="34">
        <f t="shared" si="8"/>
        <v>750</v>
      </c>
    </row>
    <row r="32" spans="1:9" ht="12.75" customHeight="1" x14ac:dyDescent="0.25">
      <c r="A32" s="221">
        <v>32</v>
      </c>
      <c r="B32" s="222"/>
      <c r="C32" s="223"/>
      <c r="D32" s="41" t="s">
        <v>26</v>
      </c>
      <c r="E32" s="114">
        <v>1154.1600000000001</v>
      </c>
      <c r="F32" s="34">
        <v>750</v>
      </c>
      <c r="G32" s="34">
        <v>750</v>
      </c>
      <c r="H32" s="34">
        <v>750</v>
      </c>
      <c r="I32" s="34">
        <v>750</v>
      </c>
    </row>
    <row r="33" spans="1:9" x14ac:dyDescent="0.25">
      <c r="A33" s="236" t="s">
        <v>82</v>
      </c>
      <c r="B33" s="237"/>
      <c r="C33" s="238"/>
      <c r="D33" s="142" t="s">
        <v>83</v>
      </c>
      <c r="E33" s="143">
        <f>E34</f>
        <v>5903.07</v>
      </c>
      <c r="F33" s="127">
        <f>F34</f>
        <v>11202.39</v>
      </c>
      <c r="G33" s="127">
        <f>G34+G38+G42</f>
        <v>12019.980000000001</v>
      </c>
      <c r="H33" s="127">
        <f t="shared" ref="H33:I33" si="9">H34+H38+H42</f>
        <v>12019.980000000001</v>
      </c>
      <c r="I33" s="127">
        <f t="shared" si="9"/>
        <v>8707.6699999999983</v>
      </c>
    </row>
    <row r="34" spans="1:9" x14ac:dyDescent="0.25">
      <c r="A34" s="227" t="s">
        <v>78</v>
      </c>
      <c r="B34" s="228"/>
      <c r="C34" s="229"/>
      <c r="D34" s="46" t="s">
        <v>12</v>
      </c>
      <c r="E34" s="113">
        <f>E35</f>
        <v>5903.07</v>
      </c>
      <c r="F34" s="34">
        <v>11202.39</v>
      </c>
      <c r="G34" s="34">
        <f>G35</f>
        <v>1287.77</v>
      </c>
      <c r="H34" s="34">
        <f>H35</f>
        <v>1287.77</v>
      </c>
      <c r="I34" s="34">
        <f>I35</f>
        <v>932.9</v>
      </c>
    </row>
    <row r="35" spans="1:9" x14ac:dyDescent="0.25">
      <c r="A35" s="218">
        <v>3</v>
      </c>
      <c r="B35" s="219"/>
      <c r="C35" s="220"/>
      <c r="D35" s="41" t="s">
        <v>15</v>
      </c>
      <c r="E35" s="114">
        <f>E36+E37</f>
        <v>5903.07</v>
      </c>
      <c r="F35" s="34">
        <v>693.59</v>
      </c>
      <c r="G35" s="34">
        <f>G36+G37</f>
        <v>1287.77</v>
      </c>
      <c r="H35" s="34">
        <f>H36+H37</f>
        <v>1287.77</v>
      </c>
      <c r="I35" s="34">
        <f>I36+I37</f>
        <v>932.9</v>
      </c>
    </row>
    <row r="36" spans="1:9" x14ac:dyDescent="0.25">
      <c r="A36" s="221">
        <v>31</v>
      </c>
      <c r="B36" s="222"/>
      <c r="C36" s="223"/>
      <c r="D36" s="41" t="s">
        <v>84</v>
      </c>
      <c r="E36" s="114">
        <v>5571.29</v>
      </c>
      <c r="F36" s="34">
        <v>0</v>
      </c>
      <c r="G36" s="34">
        <v>1206.71</v>
      </c>
      <c r="H36" s="34">
        <f>1162.81+43.9</f>
        <v>1206.71</v>
      </c>
      <c r="I36" s="34">
        <f>872.11</f>
        <v>872.11</v>
      </c>
    </row>
    <row r="37" spans="1:9" x14ac:dyDescent="0.25">
      <c r="A37" s="221">
        <v>32</v>
      </c>
      <c r="B37" s="222"/>
      <c r="C37" s="223"/>
      <c r="D37" s="41" t="s">
        <v>26</v>
      </c>
      <c r="E37" s="114">
        <v>331.78</v>
      </c>
      <c r="F37" s="34">
        <v>0</v>
      </c>
      <c r="G37" s="34">
        <v>81.06</v>
      </c>
      <c r="H37" s="34">
        <f>77.14+3.92</f>
        <v>81.06</v>
      </c>
      <c r="I37" s="34">
        <f>57.85+2.94</f>
        <v>60.79</v>
      </c>
    </row>
    <row r="38" spans="1:9" ht="16.5" customHeight="1" x14ac:dyDescent="0.25">
      <c r="A38" s="227" t="s">
        <v>94</v>
      </c>
      <c r="B38" s="228"/>
      <c r="C38" s="229"/>
      <c r="D38" s="182" t="s">
        <v>95</v>
      </c>
      <c r="E38" s="114">
        <v>0</v>
      </c>
      <c r="F38" s="114">
        <v>0</v>
      </c>
      <c r="G38" s="34">
        <f>G39</f>
        <v>1609.83</v>
      </c>
      <c r="H38" s="34">
        <f t="shared" ref="H38:I38" si="10">H39</f>
        <v>1609.83</v>
      </c>
      <c r="I38" s="34">
        <f t="shared" si="10"/>
        <v>1166.22</v>
      </c>
    </row>
    <row r="39" spans="1:9" x14ac:dyDescent="0.25">
      <c r="A39" s="218">
        <v>3</v>
      </c>
      <c r="B39" s="219"/>
      <c r="C39" s="220"/>
      <c r="D39" s="181" t="s">
        <v>15</v>
      </c>
      <c r="E39" s="114">
        <v>0</v>
      </c>
      <c r="F39" s="114">
        <v>0</v>
      </c>
      <c r="G39" s="34">
        <f>G40+G41</f>
        <v>1609.83</v>
      </c>
      <c r="H39" s="34">
        <f t="shared" ref="H39:I39" si="11">H40+H41</f>
        <v>1609.83</v>
      </c>
      <c r="I39" s="34">
        <f t="shared" si="11"/>
        <v>1166.22</v>
      </c>
    </row>
    <row r="40" spans="1:9" x14ac:dyDescent="0.25">
      <c r="A40" s="221">
        <v>31</v>
      </c>
      <c r="B40" s="222"/>
      <c r="C40" s="223"/>
      <c r="D40" s="181" t="s">
        <v>84</v>
      </c>
      <c r="E40" s="114">
        <v>0</v>
      </c>
      <c r="F40" s="114">
        <v>0</v>
      </c>
      <c r="G40" s="34">
        <f>1453.62+54.88</f>
        <v>1508.5</v>
      </c>
      <c r="H40" s="34">
        <f>1453.62+54.88</f>
        <v>1508.5</v>
      </c>
      <c r="I40" s="34">
        <f>1090.22</f>
        <v>1090.22</v>
      </c>
    </row>
    <row r="41" spans="1:9" x14ac:dyDescent="0.25">
      <c r="A41" s="221">
        <v>32</v>
      </c>
      <c r="B41" s="222"/>
      <c r="C41" s="223"/>
      <c r="D41" s="181" t="s">
        <v>26</v>
      </c>
      <c r="E41" s="114">
        <v>0</v>
      </c>
      <c r="F41" s="114">
        <v>0</v>
      </c>
      <c r="G41" s="34">
        <f>96.43+4.9</f>
        <v>101.33000000000001</v>
      </c>
      <c r="H41" s="34">
        <f>96.43+4.9</f>
        <v>101.33000000000001</v>
      </c>
      <c r="I41" s="34">
        <f>72.32+3.68</f>
        <v>76</v>
      </c>
    </row>
    <row r="42" spans="1:9" x14ac:dyDescent="0.25">
      <c r="A42" s="227" t="s">
        <v>181</v>
      </c>
      <c r="B42" s="228"/>
      <c r="C42" s="229"/>
      <c r="D42" s="182" t="s">
        <v>178</v>
      </c>
      <c r="E42" s="114">
        <v>0</v>
      </c>
      <c r="F42" s="114">
        <v>0</v>
      </c>
      <c r="G42" s="34">
        <f>G43</f>
        <v>9122.380000000001</v>
      </c>
      <c r="H42" s="34">
        <f t="shared" ref="H42:I42" si="12">H43</f>
        <v>9122.380000000001</v>
      </c>
      <c r="I42" s="34">
        <f t="shared" si="12"/>
        <v>6608.5499999999993</v>
      </c>
    </row>
    <row r="43" spans="1:9" x14ac:dyDescent="0.25">
      <c r="A43" s="218">
        <v>3</v>
      </c>
      <c r="B43" s="219"/>
      <c r="C43" s="220"/>
      <c r="D43" s="181" t="s">
        <v>15</v>
      </c>
      <c r="E43" s="114">
        <v>0</v>
      </c>
      <c r="F43" s="114">
        <v>0</v>
      </c>
      <c r="G43" s="34">
        <f>G44+G45</f>
        <v>9122.380000000001</v>
      </c>
      <c r="H43" s="34">
        <f t="shared" ref="H43:I43" si="13">H44+H45</f>
        <v>9122.380000000001</v>
      </c>
      <c r="I43" s="34">
        <f t="shared" si="13"/>
        <v>6608.5499999999993</v>
      </c>
    </row>
    <row r="44" spans="1:9" x14ac:dyDescent="0.25">
      <c r="A44" s="221">
        <v>31</v>
      </c>
      <c r="B44" s="222"/>
      <c r="C44" s="223"/>
      <c r="D44" s="181" t="s">
        <v>84</v>
      </c>
      <c r="E44" s="114">
        <v>0</v>
      </c>
      <c r="F44" s="114">
        <v>0</v>
      </c>
      <c r="G44" s="34">
        <f>8237.2+310.98</f>
        <v>8548.18</v>
      </c>
      <c r="H44" s="34">
        <f>8237.2+310.98</f>
        <v>8548.18</v>
      </c>
      <c r="I44" s="34">
        <f>6177.9</f>
        <v>6177.9</v>
      </c>
    </row>
    <row r="45" spans="1:9" x14ac:dyDescent="0.25">
      <c r="A45" s="221">
        <v>32</v>
      </c>
      <c r="B45" s="222"/>
      <c r="C45" s="223"/>
      <c r="D45" s="181" t="s">
        <v>26</v>
      </c>
      <c r="E45" s="114">
        <v>0</v>
      </c>
      <c r="F45" s="114">
        <v>0</v>
      </c>
      <c r="G45" s="34">
        <f>546.43+27.77</f>
        <v>574.19999999999993</v>
      </c>
      <c r="H45" s="34">
        <f>546.43+27.77</f>
        <v>574.19999999999993</v>
      </c>
      <c r="I45" s="34">
        <f>409.82+20.83</f>
        <v>430.65</v>
      </c>
    </row>
    <row r="46" spans="1:9" x14ac:dyDescent="0.25">
      <c r="A46" s="236" t="s">
        <v>85</v>
      </c>
      <c r="B46" s="237"/>
      <c r="C46" s="238"/>
      <c r="D46" s="142" t="s">
        <v>86</v>
      </c>
      <c r="E46" s="143">
        <f t="shared" ref="E46:F46" si="14">E47</f>
        <v>1543.46</v>
      </c>
      <c r="F46" s="127">
        <f t="shared" si="14"/>
        <v>0</v>
      </c>
      <c r="G46" s="127">
        <f t="shared" ref="G46" si="15">G47</f>
        <v>0</v>
      </c>
      <c r="H46" s="127">
        <f t="shared" ref="H46:I46" si="16">H47</f>
        <v>0</v>
      </c>
      <c r="I46" s="127">
        <f t="shared" si="16"/>
        <v>0</v>
      </c>
    </row>
    <row r="47" spans="1:9" x14ac:dyDescent="0.25">
      <c r="A47" s="227" t="s">
        <v>78</v>
      </c>
      <c r="B47" s="228"/>
      <c r="C47" s="229"/>
      <c r="D47" s="46" t="s">
        <v>12</v>
      </c>
      <c r="E47" s="114">
        <f>E48</f>
        <v>1543.46</v>
      </c>
      <c r="F47" s="34">
        <v>0</v>
      </c>
      <c r="G47" s="34">
        <v>0</v>
      </c>
      <c r="H47" s="34">
        <v>0</v>
      </c>
      <c r="I47" s="34">
        <v>0</v>
      </c>
    </row>
    <row r="48" spans="1:9" x14ac:dyDescent="0.25">
      <c r="A48" s="218">
        <v>3</v>
      </c>
      <c r="B48" s="219"/>
      <c r="C48" s="220"/>
      <c r="D48" s="41" t="s">
        <v>15</v>
      </c>
      <c r="E48" s="114">
        <f>E49</f>
        <v>1543.46</v>
      </c>
      <c r="F48" s="34">
        <v>0</v>
      </c>
      <c r="G48" s="34">
        <v>0</v>
      </c>
      <c r="H48" s="34">
        <v>0</v>
      </c>
      <c r="I48" s="34">
        <v>0</v>
      </c>
    </row>
    <row r="49" spans="1:9" x14ac:dyDescent="0.25">
      <c r="A49" s="221">
        <v>32</v>
      </c>
      <c r="B49" s="222"/>
      <c r="C49" s="223"/>
      <c r="D49" s="41" t="s">
        <v>26</v>
      </c>
      <c r="E49" s="114">
        <v>1543.46</v>
      </c>
      <c r="F49" s="34">
        <v>0</v>
      </c>
      <c r="G49" s="34">
        <v>0</v>
      </c>
      <c r="H49" s="34">
        <v>0</v>
      </c>
      <c r="I49" s="34">
        <v>0</v>
      </c>
    </row>
    <row r="50" spans="1:9" hidden="1" x14ac:dyDescent="0.25">
      <c r="A50" s="239" t="s">
        <v>87</v>
      </c>
      <c r="B50" s="240"/>
      <c r="C50" s="241"/>
      <c r="D50" s="45" t="s">
        <v>88</v>
      </c>
      <c r="E50" s="112">
        <v>0</v>
      </c>
      <c r="F50" s="60">
        <f>F51</f>
        <v>0</v>
      </c>
      <c r="G50" s="60">
        <f t="shared" ref="G50:I51" si="17">G51</f>
        <v>0</v>
      </c>
      <c r="H50" s="60">
        <f t="shared" si="17"/>
        <v>0</v>
      </c>
      <c r="I50" s="60">
        <f t="shared" si="17"/>
        <v>0</v>
      </c>
    </row>
    <row r="51" spans="1:9" ht="23.25" hidden="1" customHeight="1" x14ac:dyDescent="0.25">
      <c r="A51" s="227" t="s">
        <v>78</v>
      </c>
      <c r="B51" s="228"/>
      <c r="C51" s="229"/>
      <c r="D51" s="46" t="s">
        <v>12</v>
      </c>
      <c r="E51" s="114">
        <v>0</v>
      </c>
      <c r="F51" s="34">
        <f>F52</f>
        <v>0</v>
      </c>
      <c r="G51" s="34">
        <f t="shared" si="17"/>
        <v>0</v>
      </c>
      <c r="H51" s="34">
        <f t="shared" si="17"/>
        <v>0</v>
      </c>
      <c r="I51" s="34">
        <f t="shared" si="17"/>
        <v>0</v>
      </c>
    </row>
    <row r="52" spans="1:9" hidden="1" x14ac:dyDescent="0.25">
      <c r="A52" s="218">
        <v>3</v>
      </c>
      <c r="B52" s="219"/>
      <c r="C52" s="220"/>
      <c r="D52" s="41" t="s">
        <v>15</v>
      </c>
      <c r="E52" s="114">
        <v>0</v>
      </c>
      <c r="F52" s="34">
        <f>F54</f>
        <v>0</v>
      </c>
      <c r="G52" s="34">
        <f t="shared" ref="G52:H52" si="18">G54</f>
        <v>0</v>
      </c>
      <c r="H52" s="34">
        <f t="shared" si="18"/>
        <v>0</v>
      </c>
      <c r="I52" s="34">
        <f t="shared" ref="I52" si="19">I54</f>
        <v>0</v>
      </c>
    </row>
    <row r="53" spans="1:9" hidden="1" x14ac:dyDescent="0.25">
      <c r="A53" s="221">
        <v>32</v>
      </c>
      <c r="B53" s="222"/>
      <c r="C53" s="223"/>
      <c r="D53" s="71" t="s">
        <v>26</v>
      </c>
      <c r="E53" s="114">
        <v>0</v>
      </c>
      <c r="F53" s="34">
        <v>0</v>
      </c>
      <c r="G53" s="34">
        <v>0</v>
      </c>
      <c r="H53" s="34">
        <v>0</v>
      </c>
      <c r="I53" s="34">
        <v>0</v>
      </c>
    </row>
    <row r="54" spans="1:9" hidden="1" x14ac:dyDescent="0.25">
      <c r="A54" s="221">
        <v>32</v>
      </c>
      <c r="B54" s="222"/>
      <c r="C54" s="223"/>
      <c r="D54" s="41" t="s">
        <v>26</v>
      </c>
      <c r="E54" s="114">
        <v>0</v>
      </c>
      <c r="F54" s="34">
        <v>0</v>
      </c>
      <c r="G54" s="34">
        <v>0</v>
      </c>
      <c r="H54" s="34">
        <v>0</v>
      </c>
      <c r="I54" s="34">
        <v>0</v>
      </c>
    </row>
    <row r="55" spans="1:9" ht="45" x14ac:dyDescent="0.25">
      <c r="A55" s="230" t="s">
        <v>76</v>
      </c>
      <c r="B55" s="231"/>
      <c r="C55" s="232"/>
      <c r="D55" s="136" t="s">
        <v>142</v>
      </c>
      <c r="E55" s="137">
        <f>E56</f>
        <v>787052.69000000006</v>
      </c>
      <c r="F55" s="138">
        <f>F56</f>
        <v>969425.85</v>
      </c>
      <c r="G55" s="138">
        <f t="shared" ref="G55:I55" si="20">G56</f>
        <v>1078460</v>
      </c>
      <c r="H55" s="138">
        <f t="shared" si="20"/>
        <v>1076160</v>
      </c>
      <c r="I55" s="138">
        <f t="shared" si="20"/>
        <v>1077360</v>
      </c>
    </row>
    <row r="56" spans="1:9" x14ac:dyDescent="0.25">
      <c r="A56" s="233" t="s">
        <v>89</v>
      </c>
      <c r="B56" s="234"/>
      <c r="C56" s="235"/>
      <c r="D56" s="144" t="s">
        <v>90</v>
      </c>
      <c r="E56" s="145">
        <f>E90+E59+E65+E70+E84</f>
        <v>787052.69000000006</v>
      </c>
      <c r="F56" s="146">
        <f>F90+F59+F65+F70+F79+F84</f>
        <v>969425.85</v>
      </c>
      <c r="G56" s="146">
        <f>G90+G59+G65+G70+G79+G84</f>
        <v>1078460</v>
      </c>
      <c r="H56" s="146">
        <f>H90+H59+H65+H70+H79+H84</f>
        <v>1076160</v>
      </c>
      <c r="I56" s="146">
        <f>I90+I59+I65+I70+I79+I84</f>
        <v>1077360</v>
      </c>
    </row>
    <row r="57" spans="1:9" ht="25.5" hidden="1" x14ac:dyDescent="0.25">
      <c r="A57" s="218">
        <v>4</v>
      </c>
      <c r="B57" s="219"/>
      <c r="C57" s="220"/>
      <c r="D57" s="41" t="s">
        <v>91</v>
      </c>
      <c r="E57" s="114"/>
      <c r="F57" s="34">
        <f>F58</f>
        <v>0</v>
      </c>
      <c r="G57" s="34">
        <f t="shared" ref="G57:I57" si="21">G58</f>
        <v>0</v>
      </c>
      <c r="H57" s="34">
        <f t="shared" si="21"/>
        <v>0</v>
      </c>
      <c r="I57" s="34">
        <f t="shared" si="21"/>
        <v>0</v>
      </c>
    </row>
    <row r="58" spans="1:9" ht="25.5" hidden="1" x14ac:dyDescent="0.25">
      <c r="A58" s="221">
        <v>42</v>
      </c>
      <c r="B58" s="222"/>
      <c r="C58" s="223"/>
      <c r="D58" s="41" t="s">
        <v>36</v>
      </c>
      <c r="E58" s="114"/>
      <c r="F58" s="34"/>
      <c r="G58" s="34"/>
      <c r="H58" s="34"/>
      <c r="I58" s="34"/>
    </row>
    <row r="59" spans="1:9" x14ac:dyDescent="0.25">
      <c r="A59" s="224" t="s">
        <v>92</v>
      </c>
      <c r="B59" s="225"/>
      <c r="C59" s="226"/>
      <c r="D59" s="66" t="s">
        <v>30</v>
      </c>
      <c r="E59" s="115">
        <f>E60+E63</f>
        <v>528.99</v>
      </c>
      <c r="F59" s="60">
        <f>F60+F63</f>
        <v>284.56</v>
      </c>
      <c r="G59" s="60">
        <f t="shared" ref="G59:I59" si="22">G60+G63</f>
        <v>130</v>
      </c>
      <c r="H59" s="60">
        <f t="shared" si="22"/>
        <v>130</v>
      </c>
      <c r="I59" s="60">
        <f t="shared" si="22"/>
        <v>130</v>
      </c>
    </row>
    <row r="60" spans="1:9" ht="15.75" customHeight="1" x14ac:dyDescent="0.25">
      <c r="A60" s="218">
        <v>3</v>
      </c>
      <c r="B60" s="219"/>
      <c r="C60" s="220"/>
      <c r="D60" s="41" t="s">
        <v>15</v>
      </c>
      <c r="E60" s="114">
        <f>E61</f>
        <v>528.99</v>
      </c>
      <c r="F60" s="34">
        <f>F61</f>
        <v>284.56</v>
      </c>
      <c r="G60" s="34">
        <f>G61</f>
        <v>130</v>
      </c>
      <c r="H60" s="34">
        <f t="shared" ref="H60:I60" si="23">H61</f>
        <v>130</v>
      </c>
      <c r="I60" s="34">
        <f t="shared" si="23"/>
        <v>130</v>
      </c>
    </row>
    <row r="61" spans="1:9" x14ac:dyDescent="0.25">
      <c r="A61" s="221">
        <v>32</v>
      </c>
      <c r="B61" s="222"/>
      <c r="C61" s="223"/>
      <c r="D61" s="41" t="s">
        <v>26</v>
      </c>
      <c r="E61" s="114">
        <v>528.99</v>
      </c>
      <c r="F61" s="34">
        <v>284.56</v>
      </c>
      <c r="G61" s="34">
        <v>130</v>
      </c>
      <c r="H61" s="34">
        <v>130</v>
      </c>
      <c r="I61" s="34">
        <v>130</v>
      </c>
    </row>
    <row r="62" spans="1:9" x14ac:dyDescent="0.25">
      <c r="A62" s="221">
        <v>34</v>
      </c>
      <c r="B62" s="222"/>
      <c r="C62" s="223"/>
      <c r="D62" s="71" t="s">
        <v>132</v>
      </c>
      <c r="E62" s="114">
        <v>0</v>
      </c>
      <c r="F62" s="34">
        <v>0</v>
      </c>
      <c r="G62" s="34">
        <v>0</v>
      </c>
      <c r="H62" s="34">
        <v>0</v>
      </c>
      <c r="I62" s="34">
        <v>0</v>
      </c>
    </row>
    <row r="63" spans="1:9" x14ac:dyDescent="0.25">
      <c r="A63" s="218">
        <v>4</v>
      </c>
      <c r="B63" s="219"/>
      <c r="C63" s="220"/>
      <c r="D63" s="41" t="s">
        <v>91</v>
      </c>
      <c r="E63" s="114">
        <v>0</v>
      </c>
      <c r="F63" s="34">
        <v>0</v>
      </c>
      <c r="G63" s="34">
        <v>0</v>
      </c>
      <c r="H63" s="34">
        <v>0</v>
      </c>
      <c r="I63" s="34">
        <v>0</v>
      </c>
    </row>
    <row r="64" spans="1:9" ht="25.5" x14ac:dyDescent="0.25">
      <c r="A64" s="221">
        <v>42</v>
      </c>
      <c r="B64" s="222"/>
      <c r="C64" s="223"/>
      <c r="D64" s="41" t="s">
        <v>36</v>
      </c>
      <c r="E64" s="114">
        <v>0</v>
      </c>
      <c r="F64" s="34">
        <v>0</v>
      </c>
      <c r="G64" s="34">
        <v>0</v>
      </c>
      <c r="H64" s="34">
        <v>0</v>
      </c>
      <c r="I64" s="34">
        <v>0</v>
      </c>
    </row>
    <row r="65" spans="1:9" x14ac:dyDescent="0.25">
      <c r="A65" s="224" t="s">
        <v>93</v>
      </c>
      <c r="B65" s="225"/>
      <c r="C65" s="226"/>
      <c r="D65" s="66" t="s">
        <v>48</v>
      </c>
      <c r="E65" s="115">
        <f>E66+E68</f>
        <v>13518.56</v>
      </c>
      <c r="F65" s="60">
        <f>F66+F68</f>
        <v>18183.7</v>
      </c>
      <c r="G65" s="60">
        <f t="shared" ref="G65:I65" si="24">G66+G68</f>
        <v>11400</v>
      </c>
      <c r="H65" s="60">
        <f t="shared" si="24"/>
        <v>7900</v>
      </c>
      <c r="I65" s="60">
        <f t="shared" si="24"/>
        <v>7900</v>
      </c>
    </row>
    <row r="66" spans="1:9" x14ac:dyDescent="0.25">
      <c r="A66" s="218">
        <v>3</v>
      </c>
      <c r="B66" s="219"/>
      <c r="C66" s="220"/>
      <c r="D66" s="41" t="s">
        <v>15</v>
      </c>
      <c r="E66" s="114">
        <f>E67</f>
        <v>12370.56</v>
      </c>
      <c r="F66" s="34">
        <f>F67</f>
        <v>15283.7</v>
      </c>
      <c r="G66" s="34">
        <f>G67</f>
        <v>10100</v>
      </c>
      <c r="H66" s="34">
        <v>7900</v>
      </c>
      <c r="I66" s="34">
        <v>7900</v>
      </c>
    </row>
    <row r="67" spans="1:9" x14ac:dyDescent="0.25">
      <c r="A67" s="221">
        <v>32</v>
      </c>
      <c r="B67" s="222"/>
      <c r="C67" s="223"/>
      <c r="D67" s="41" t="s">
        <v>26</v>
      </c>
      <c r="E67" s="114">
        <v>12370.56</v>
      </c>
      <c r="F67" s="34">
        <v>15283.7</v>
      </c>
      <c r="G67" s="34">
        <v>10100</v>
      </c>
      <c r="H67" s="34">
        <v>7900</v>
      </c>
      <c r="I67" s="34">
        <v>7900</v>
      </c>
    </row>
    <row r="68" spans="1:9" x14ac:dyDescent="0.25">
      <c r="A68" s="218">
        <v>4</v>
      </c>
      <c r="B68" s="219"/>
      <c r="C68" s="220"/>
      <c r="D68" s="41" t="s">
        <v>91</v>
      </c>
      <c r="E68" s="114">
        <f>E69</f>
        <v>1148</v>
      </c>
      <c r="F68" s="34">
        <f>F69</f>
        <v>2900</v>
      </c>
      <c r="G68" s="34">
        <f>G69</f>
        <v>1300</v>
      </c>
      <c r="H68" s="34">
        <v>0</v>
      </c>
      <c r="I68" s="34">
        <v>0</v>
      </c>
    </row>
    <row r="69" spans="1:9" ht="25.5" x14ac:dyDescent="0.25">
      <c r="A69" s="221">
        <v>42</v>
      </c>
      <c r="B69" s="222"/>
      <c r="C69" s="223"/>
      <c r="D69" s="41" t="s">
        <v>36</v>
      </c>
      <c r="E69" s="114">
        <v>1148</v>
      </c>
      <c r="F69" s="34">
        <v>2900</v>
      </c>
      <c r="G69" s="34">
        <v>1300</v>
      </c>
      <c r="H69" s="34">
        <v>0</v>
      </c>
      <c r="I69" s="34">
        <v>0</v>
      </c>
    </row>
    <row r="70" spans="1:9" x14ac:dyDescent="0.25">
      <c r="A70" s="224" t="s">
        <v>94</v>
      </c>
      <c r="B70" s="225"/>
      <c r="C70" s="226"/>
      <c r="D70" s="66" t="s">
        <v>95</v>
      </c>
      <c r="E70" s="115">
        <f>E71+E77</f>
        <v>768149.70000000007</v>
      </c>
      <c r="F70" s="60">
        <f>F71+F77</f>
        <v>948800.08</v>
      </c>
      <c r="G70" s="60">
        <f>G71+G77</f>
        <v>1065330</v>
      </c>
      <c r="H70" s="60">
        <f t="shared" ref="H70:I70" si="25">H71+H77</f>
        <v>1066530</v>
      </c>
      <c r="I70" s="60">
        <f t="shared" si="25"/>
        <v>1067730</v>
      </c>
    </row>
    <row r="71" spans="1:9" x14ac:dyDescent="0.25">
      <c r="A71" s="218">
        <v>3</v>
      </c>
      <c r="B71" s="219"/>
      <c r="C71" s="220"/>
      <c r="D71" s="41" t="s">
        <v>15</v>
      </c>
      <c r="E71" s="114">
        <f>E72+E73+E74+E75+E76</f>
        <v>766952.89</v>
      </c>
      <c r="F71" s="34">
        <f>F72+F73+F74+F75+F76</f>
        <v>945800.08</v>
      </c>
      <c r="G71" s="34">
        <f>G72+G73+G74+G75+G76+G77+G78</f>
        <v>1063330</v>
      </c>
      <c r="H71" s="34">
        <f t="shared" ref="H71:I71" si="26">H72+H73+H74+H75+H76+H77+H78</f>
        <v>1064530</v>
      </c>
      <c r="I71" s="34">
        <f t="shared" si="26"/>
        <v>1065730</v>
      </c>
    </row>
    <row r="72" spans="1:9" x14ac:dyDescent="0.25">
      <c r="A72" s="221">
        <v>31</v>
      </c>
      <c r="B72" s="222"/>
      <c r="C72" s="223"/>
      <c r="D72" s="41" t="s">
        <v>84</v>
      </c>
      <c r="E72" s="114">
        <v>686633.22</v>
      </c>
      <c r="F72" s="34">
        <v>865538.08</v>
      </c>
      <c r="G72" s="34">
        <f>793000+9000+9500+6600+11600+1800+10500+440+121500</f>
        <v>963940</v>
      </c>
      <c r="H72" s="34">
        <f>G72+2100</f>
        <v>966040</v>
      </c>
      <c r="I72" s="34">
        <f>H72+2100</f>
        <v>968140</v>
      </c>
    </row>
    <row r="73" spans="1:9" x14ac:dyDescent="0.25">
      <c r="A73" s="221">
        <v>32</v>
      </c>
      <c r="B73" s="222"/>
      <c r="C73" s="223"/>
      <c r="D73" s="41" t="s">
        <v>26</v>
      </c>
      <c r="E73" s="114">
        <v>71480.81</v>
      </c>
      <c r="F73" s="34">
        <v>71340</v>
      </c>
      <c r="G73" s="34">
        <f>39800+100+270+40500+2190</f>
        <v>82860</v>
      </c>
      <c r="H73" s="34">
        <f>G73-900</f>
        <v>81960</v>
      </c>
      <c r="I73" s="34">
        <f>H73-900</f>
        <v>81060</v>
      </c>
    </row>
    <row r="74" spans="1:9" x14ac:dyDescent="0.25">
      <c r="A74" s="48">
        <v>34</v>
      </c>
      <c r="B74" s="49"/>
      <c r="C74" s="50"/>
      <c r="D74" s="47" t="s">
        <v>50</v>
      </c>
      <c r="E74" s="114">
        <v>0</v>
      </c>
      <c r="F74" s="34">
        <v>92</v>
      </c>
      <c r="G74" s="34">
        <v>130</v>
      </c>
      <c r="H74" s="34">
        <f>G74</f>
        <v>130</v>
      </c>
      <c r="I74" s="34">
        <f>H74</f>
        <v>130</v>
      </c>
    </row>
    <row r="75" spans="1:9" ht="25.5" x14ac:dyDescent="0.25">
      <c r="A75" s="42">
        <v>37</v>
      </c>
      <c r="B75" s="43"/>
      <c r="C75" s="44"/>
      <c r="D75" s="41" t="s">
        <v>96</v>
      </c>
      <c r="E75" s="114">
        <v>8486.2000000000007</v>
      </c>
      <c r="F75" s="34">
        <v>8500</v>
      </c>
      <c r="G75" s="34">
        <v>12000</v>
      </c>
      <c r="H75" s="34">
        <f>G75</f>
        <v>12000</v>
      </c>
      <c r="I75" s="34">
        <f>H75</f>
        <v>12000</v>
      </c>
    </row>
    <row r="76" spans="1:9" x14ac:dyDescent="0.25">
      <c r="A76" s="73">
        <v>38</v>
      </c>
      <c r="B76" s="74"/>
      <c r="C76" s="75"/>
      <c r="D76" s="72" t="s">
        <v>138</v>
      </c>
      <c r="E76" s="114">
        <v>352.66</v>
      </c>
      <c r="F76" s="34">
        <v>330</v>
      </c>
      <c r="G76" s="34">
        <v>400</v>
      </c>
      <c r="H76" s="34">
        <v>400</v>
      </c>
      <c r="I76" s="34">
        <v>400</v>
      </c>
    </row>
    <row r="77" spans="1:9" x14ac:dyDescent="0.25">
      <c r="A77" s="218">
        <v>4</v>
      </c>
      <c r="B77" s="219"/>
      <c r="C77" s="220"/>
      <c r="D77" s="41" t="s">
        <v>91</v>
      </c>
      <c r="E77" s="114">
        <f>E78</f>
        <v>1196.81</v>
      </c>
      <c r="F77" s="34">
        <f>F78</f>
        <v>3000</v>
      </c>
      <c r="G77" s="34">
        <f>G78</f>
        <v>2000</v>
      </c>
      <c r="H77" s="34">
        <f t="shared" ref="H77:I77" si="27">H78</f>
        <v>2000</v>
      </c>
      <c r="I77" s="34">
        <f t="shared" si="27"/>
        <v>2000</v>
      </c>
    </row>
    <row r="78" spans="1:9" ht="25.5" x14ac:dyDescent="0.25">
      <c r="A78" s="221">
        <v>42</v>
      </c>
      <c r="B78" s="222"/>
      <c r="C78" s="223"/>
      <c r="D78" s="41" t="s">
        <v>36</v>
      </c>
      <c r="E78" s="114">
        <v>1196.81</v>
      </c>
      <c r="F78" s="34">
        <v>3000</v>
      </c>
      <c r="G78" s="34">
        <v>2000</v>
      </c>
      <c r="H78" s="34">
        <v>2000</v>
      </c>
      <c r="I78" s="34">
        <v>2000</v>
      </c>
    </row>
    <row r="79" spans="1:9" hidden="1" x14ac:dyDescent="0.25">
      <c r="A79" s="224" t="s">
        <v>97</v>
      </c>
      <c r="B79" s="225"/>
      <c r="C79" s="226"/>
      <c r="D79" s="66" t="s">
        <v>98</v>
      </c>
      <c r="E79" s="115"/>
      <c r="F79" s="60">
        <f>F80+F82</f>
        <v>0</v>
      </c>
      <c r="G79" s="60">
        <f t="shared" ref="G79:I79" si="28">G80+G82</f>
        <v>0</v>
      </c>
      <c r="H79" s="60">
        <f t="shared" si="28"/>
        <v>0</v>
      </c>
      <c r="I79" s="60">
        <f t="shared" si="28"/>
        <v>0</v>
      </c>
    </row>
    <row r="80" spans="1:9" hidden="1" x14ac:dyDescent="0.25">
      <c r="A80" s="218">
        <v>3</v>
      </c>
      <c r="B80" s="219"/>
      <c r="C80" s="220"/>
      <c r="D80" s="41" t="s">
        <v>15</v>
      </c>
      <c r="E80" s="114"/>
      <c r="F80" s="34">
        <f>F81</f>
        <v>0</v>
      </c>
      <c r="G80" s="34">
        <f t="shared" ref="G80:I80" si="29">G81</f>
        <v>0</v>
      </c>
      <c r="H80" s="34">
        <f t="shared" si="29"/>
        <v>0</v>
      </c>
      <c r="I80" s="34">
        <f t="shared" si="29"/>
        <v>0</v>
      </c>
    </row>
    <row r="81" spans="1:9" hidden="1" x14ac:dyDescent="0.25">
      <c r="A81" s="221">
        <v>32</v>
      </c>
      <c r="B81" s="222"/>
      <c r="C81" s="223"/>
      <c r="D81" s="41" t="s">
        <v>26</v>
      </c>
      <c r="E81" s="114"/>
      <c r="F81" s="34"/>
      <c r="G81" s="34"/>
      <c r="H81" s="34"/>
      <c r="I81" s="34"/>
    </row>
    <row r="82" spans="1:9" ht="25.5" hidden="1" x14ac:dyDescent="0.25">
      <c r="A82" s="218">
        <v>4</v>
      </c>
      <c r="B82" s="219"/>
      <c r="C82" s="220"/>
      <c r="D82" s="41" t="s">
        <v>91</v>
      </c>
      <c r="E82" s="114"/>
      <c r="F82" s="34">
        <f>F83</f>
        <v>0</v>
      </c>
      <c r="G82" s="34">
        <f t="shared" ref="G82:I82" si="30">G83</f>
        <v>0</v>
      </c>
      <c r="H82" s="34">
        <f t="shared" si="30"/>
        <v>0</v>
      </c>
      <c r="I82" s="34">
        <f t="shared" si="30"/>
        <v>0</v>
      </c>
    </row>
    <row r="83" spans="1:9" ht="25.5" hidden="1" x14ac:dyDescent="0.25">
      <c r="A83" s="221">
        <v>42</v>
      </c>
      <c r="B83" s="222"/>
      <c r="C83" s="223"/>
      <c r="D83" s="41" t="s">
        <v>36</v>
      </c>
      <c r="E83" s="114"/>
      <c r="F83" s="34"/>
      <c r="G83" s="34"/>
      <c r="H83" s="34"/>
      <c r="I83" s="34"/>
    </row>
    <row r="84" spans="1:9" x14ac:dyDescent="0.25">
      <c r="A84" s="224" t="s">
        <v>99</v>
      </c>
      <c r="B84" s="225"/>
      <c r="C84" s="226"/>
      <c r="D84" s="66" t="s">
        <v>100</v>
      </c>
      <c r="E84" s="115">
        <f>E85</f>
        <v>4089.69</v>
      </c>
      <c r="F84" s="60">
        <f>F85+F88</f>
        <v>1500</v>
      </c>
      <c r="G84" s="60">
        <f t="shared" ref="G84:I84" si="31">G85+G88</f>
        <v>1000</v>
      </c>
      <c r="H84" s="60">
        <f t="shared" si="31"/>
        <v>1000</v>
      </c>
      <c r="I84" s="60">
        <f t="shared" si="31"/>
        <v>1000</v>
      </c>
    </row>
    <row r="85" spans="1:9" x14ac:dyDescent="0.25">
      <c r="A85" s="218">
        <v>3</v>
      </c>
      <c r="B85" s="219"/>
      <c r="C85" s="220"/>
      <c r="D85" s="41" t="s">
        <v>15</v>
      </c>
      <c r="E85" s="114">
        <f>E86+E87</f>
        <v>4089.69</v>
      </c>
      <c r="F85" s="34">
        <f>F87</f>
        <v>1500</v>
      </c>
      <c r="G85" s="34">
        <f>G87</f>
        <v>1000</v>
      </c>
      <c r="H85" s="34">
        <f t="shared" ref="H85:I85" si="32">H87</f>
        <v>1000</v>
      </c>
      <c r="I85" s="34">
        <f t="shared" si="32"/>
        <v>1000</v>
      </c>
    </row>
    <row r="86" spans="1:9" ht="15.75" customHeight="1" x14ac:dyDescent="0.25">
      <c r="A86" s="221">
        <v>31</v>
      </c>
      <c r="B86" s="222"/>
      <c r="C86" s="223"/>
      <c r="D86" s="41" t="s">
        <v>84</v>
      </c>
      <c r="E86" s="114">
        <v>1563.08</v>
      </c>
      <c r="F86" s="34">
        <v>0</v>
      </c>
      <c r="G86" s="34">
        <v>0</v>
      </c>
      <c r="H86" s="34">
        <v>0</v>
      </c>
      <c r="I86" s="34">
        <v>0</v>
      </c>
    </row>
    <row r="87" spans="1:9" x14ac:dyDescent="0.25">
      <c r="A87" s="221">
        <v>32</v>
      </c>
      <c r="B87" s="222"/>
      <c r="C87" s="223"/>
      <c r="D87" s="41" t="s">
        <v>26</v>
      </c>
      <c r="E87" s="114">
        <v>2526.61</v>
      </c>
      <c r="F87" s="34">
        <v>1500</v>
      </c>
      <c r="G87" s="34">
        <v>1000</v>
      </c>
      <c r="H87" s="34">
        <v>1000</v>
      </c>
      <c r="I87" s="34">
        <v>1000</v>
      </c>
    </row>
    <row r="88" spans="1:9" ht="25.5" hidden="1" x14ac:dyDescent="0.25">
      <c r="A88" s="218">
        <v>4</v>
      </c>
      <c r="B88" s="219"/>
      <c r="C88" s="220"/>
      <c r="D88" s="41" t="s">
        <v>91</v>
      </c>
      <c r="E88" s="111"/>
      <c r="F88" s="34"/>
      <c r="G88" s="34"/>
      <c r="H88" s="34"/>
      <c r="I88" s="34"/>
    </row>
    <row r="89" spans="1:9" ht="24.75" customHeight="1" x14ac:dyDescent="0.25">
      <c r="A89" s="221">
        <v>42</v>
      </c>
      <c r="B89" s="222"/>
      <c r="C89" s="223"/>
      <c r="D89" s="41" t="s">
        <v>36</v>
      </c>
      <c r="E89" s="114">
        <v>0</v>
      </c>
      <c r="F89" s="34">
        <v>0</v>
      </c>
      <c r="G89" s="34">
        <v>0</v>
      </c>
      <c r="H89" s="34">
        <v>0</v>
      </c>
      <c r="I89" s="34">
        <v>0</v>
      </c>
    </row>
    <row r="90" spans="1:9" x14ac:dyDescent="0.25">
      <c r="A90" s="224" t="s">
        <v>163</v>
      </c>
      <c r="B90" s="225"/>
      <c r="C90" s="226"/>
      <c r="D90" s="66" t="s">
        <v>42</v>
      </c>
      <c r="E90" s="115">
        <f>E91</f>
        <v>765.75</v>
      </c>
      <c r="F90" s="60">
        <f>F91+F57</f>
        <v>657.51</v>
      </c>
      <c r="G90" s="60">
        <f>G91+G57</f>
        <v>600</v>
      </c>
      <c r="H90" s="60">
        <f>H91+H57</f>
        <v>600</v>
      </c>
      <c r="I90" s="60">
        <f>I91+I57</f>
        <v>600</v>
      </c>
    </row>
    <row r="91" spans="1:9" x14ac:dyDescent="0.25">
      <c r="A91" s="218">
        <v>3</v>
      </c>
      <c r="B91" s="219"/>
      <c r="C91" s="220"/>
      <c r="D91" s="41" t="s">
        <v>15</v>
      </c>
      <c r="E91" s="114">
        <f>E92</f>
        <v>765.75</v>
      </c>
      <c r="F91" s="34">
        <f>F92</f>
        <v>657.51</v>
      </c>
      <c r="G91" s="34">
        <v>600</v>
      </c>
      <c r="H91" s="34">
        <v>600</v>
      </c>
      <c r="I91" s="34">
        <v>600</v>
      </c>
    </row>
    <row r="92" spans="1:9" x14ac:dyDescent="0.25">
      <c r="A92" s="221">
        <v>32</v>
      </c>
      <c r="B92" s="222"/>
      <c r="C92" s="223"/>
      <c r="D92" s="41" t="s">
        <v>26</v>
      </c>
      <c r="E92" s="114">
        <v>765.75</v>
      </c>
      <c r="F92" s="34">
        <v>657.51</v>
      </c>
      <c r="G92" s="34">
        <v>600</v>
      </c>
      <c r="H92" s="34">
        <v>600</v>
      </c>
      <c r="I92" s="34">
        <v>600</v>
      </c>
    </row>
    <row r="94" spans="1:9" x14ac:dyDescent="0.25">
      <c r="H94" s="244"/>
      <c r="I94" s="244"/>
    </row>
    <row r="95" spans="1:9" x14ac:dyDescent="0.25">
      <c r="H95" s="244"/>
      <c r="I95" s="244"/>
    </row>
    <row r="96" spans="1:9" x14ac:dyDescent="0.25">
      <c r="D96" s="180" t="s">
        <v>172</v>
      </c>
      <c r="E96" s="180"/>
      <c r="H96" s="244" t="s">
        <v>175</v>
      </c>
      <c r="I96" s="244"/>
    </row>
    <row r="97" spans="4:9" x14ac:dyDescent="0.25">
      <c r="D97" s="180" t="s">
        <v>173</v>
      </c>
      <c r="E97" s="180"/>
      <c r="H97" s="244" t="s">
        <v>176</v>
      </c>
      <c r="I97" s="244"/>
    </row>
    <row r="98" spans="4:9" x14ac:dyDescent="0.25">
      <c r="D98" s="180" t="s">
        <v>174</v>
      </c>
      <c r="E98" s="180"/>
    </row>
  </sheetData>
  <mergeCells count="91">
    <mergeCell ref="A44:C44"/>
    <mergeCell ref="A45:C45"/>
    <mergeCell ref="H96:I96"/>
    <mergeCell ref="H97:I97"/>
    <mergeCell ref="H94:I94"/>
    <mergeCell ref="H95:I95"/>
    <mergeCell ref="A7:C7"/>
    <mergeCell ref="A8:C8"/>
    <mergeCell ref="A12:C12"/>
    <mergeCell ref="A11:C11"/>
    <mergeCell ref="A17:C17"/>
    <mergeCell ref="A19:C19"/>
    <mergeCell ref="A20:C20"/>
    <mergeCell ref="A13:C13"/>
    <mergeCell ref="A14:C14"/>
    <mergeCell ref="A15:C15"/>
    <mergeCell ref="A16:C16"/>
    <mergeCell ref="A18:C18"/>
    <mergeCell ref="A2:I2"/>
    <mergeCell ref="A4:I4"/>
    <mergeCell ref="A6:C6"/>
    <mergeCell ref="A9:C9"/>
    <mergeCell ref="A10:C10"/>
    <mergeCell ref="A21:C21"/>
    <mergeCell ref="A22:C22"/>
    <mergeCell ref="A27:C27"/>
    <mergeCell ref="A29:C29"/>
    <mergeCell ref="A30:C30"/>
    <mergeCell ref="A31:C31"/>
    <mergeCell ref="A32:C32"/>
    <mergeCell ref="A26:C26"/>
    <mergeCell ref="A24:C24"/>
    <mergeCell ref="A23:C23"/>
    <mergeCell ref="A28:C28"/>
    <mergeCell ref="A25:C25"/>
    <mergeCell ref="A50:C50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90:C90"/>
    <mergeCell ref="A91:C91"/>
    <mergeCell ref="A92:C92"/>
    <mergeCell ref="A57:C57"/>
    <mergeCell ref="A58:C58"/>
    <mergeCell ref="A59:C59"/>
    <mergeCell ref="A60:C60"/>
    <mergeCell ref="A61:C61"/>
    <mergeCell ref="A63:C63"/>
    <mergeCell ref="A64:C64"/>
    <mergeCell ref="A62:C62"/>
    <mergeCell ref="A73:C73"/>
    <mergeCell ref="A77:C77"/>
    <mergeCell ref="A65:C65"/>
    <mergeCell ref="A66:C66"/>
    <mergeCell ref="A67:C67"/>
    <mergeCell ref="A78:C78"/>
    <mergeCell ref="A79:C79"/>
    <mergeCell ref="A80:C80"/>
    <mergeCell ref="A81:C81"/>
    <mergeCell ref="A82:C82"/>
    <mergeCell ref="A88:C88"/>
    <mergeCell ref="A89:C89"/>
    <mergeCell ref="A83:C83"/>
    <mergeCell ref="A84:C84"/>
    <mergeCell ref="A85:C85"/>
    <mergeCell ref="A86:C86"/>
    <mergeCell ref="A87:C87"/>
    <mergeCell ref="A71:C71"/>
    <mergeCell ref="A72:C72"/>
    <mergeCell ref="A1:J1"/>
    <mergeCell ref="A68:C68"/>
    <mergeCell ref="A69:C69"/>
    <mergeCell ref="A70:C70"/>
    <mergeCell ref="A51:C51"/>
    <mergeCell ref="A52:C52"/>
    <mergeCell ref="A54:C54"/>
    <mergeCell ref="A55:C55"/>
    <mergeCell ref="A56:C56"/>
    <mergeCell ref="A53:C53"/>
    <mergeCell ref="A46:C46"/>
    <mergeCell ref="A47:C47"/>
    <mergeCell ref="A48:C48"/>
    <mergeCell ref="A49:C49"/>
  </mergeCells>
  <pageMargins left="0.23622047244094491" right="0.23622047244094491" top="0.55118110236220474" bottom="0.55118110236220474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 Račun prihoda i rashoda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2024-11-13T10:30:21Z</cp:lastPrinted>
  <dcterms:created xsi:type="dcterms:W3CDTF">2022-08-12T12:51:27Z</dcterms:created>
  <dcterms:modified xsi:type="dcterms:W3CDTF">2024-12-16T08:49:43Z</dcterms:modified>
</cp:coreProperties>
</file>